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I:\Skupiny\VRI\P3\INVESTICE\Horky nad Jizerou, obnova vodovodu\PŘÍPRAVA\13 ZAKÁZKY\REALIZACE\2.etapa\Zadávací dokumentace\"/>
    </mc:Choice>
  </mc:AlternateContent>
  <xr:revisionPtr revIDLastSave="0" documentId="8_{B5BBE066-2F15-413C-AEB1-D86116CFF3B9}" xr6:coauthVersionLast="36" xr6:coauthVersionMax="36" xr10:uidLastSave="{00000000-0000-0000-0000-000000000000}"/>
  <bookViews>
    <workbookView xWindow="-120" yWindow="-120" windowWidth="25440" windowHeight="15270" tabRatio="763" xr2:uid="{00000000-000D-0000-FFFF-FFFF00000000}"/>
  </bookViews>
  <sheets>
    <sheet name="Rekapitulace stavby" sheetId="1" r:id="rId1"/>
    <sheet name="01 - SO 01 Vodovod" sheetId="2" r:id="rId2"/>
    <sheet name="01.1 - SO 01.1 Vodovodní ..." sheetId="3" r:id="rId3"/>
    <sheet name="02.2 - SO 02.2 Přeložky p..." sheetId="5" r:id="rId4"/>
    <sheet name="901 - VON" sheetId="6" r:id="rId5"/>
  </sheets>
  <definedNames>
    <definedName name="_xlnm._FilterDatabase" localSheetId="1" hidden="1">'01 - SO 01 Vodovod'!$C$123:$K$512</definedName>
    <definedName name="_xlnm._FilterDatabase" localSheetId="2" hidden="1">'01.1 - SO 01.1 Vodovodní ...'!$C$125:$K$304</definedName>
    <definedName name="_xlnm._FilterDatabase" localSheetId="3" hidden="1">'02.2 - SO 02.2 Přeložky p...'!$C$129:$K$250</definedName>
    <definedName name="_xlnm._FilterDatabase" localSheetId="4" hidden="1">'901 - VON'!$C$116:$K$130</definedName>
    <definedName name="_xlnm.Print_Titles" localSheetId="1">'01 - SO 01 Vodovod'!$123:$123</definedName>
    <definedName name="_xlnm.Print_Titles" localSheetId="2">'01.1 - SO 01.1 Vodovodní ...'!$125:$125</definedName>
    <definedName name="_xlnm.Print_Titles" localSheetId="3">'02.2 - SO 02.2 Přeložky p...'!$129:$129</definedName>
    <definedName name="_xlnm.Print_Titles" localSheetId="4">'901 - VON'!$116:$116</definedName>
    <definedName name="_xlnm.Print_Titles" localSheetId="0">'Rekapitulace stavby'!$92:$92</definedName>
    <definedName name="_xlnm.Print_Area" localSheetId="1">'01 - SO 01 Vodovod'!$B$81:$J$513</definedName>
    <definedName name="_xlnm.Print_Area" localSheetId="2">'01.1 - SO 01.1 Vodovodní ...'!$B$86:$J$305</definedName>
    <definedName name="_xlnm.Print_Area" localSheetId="3">'02.2 - SO 02.2 Přeložky p...'!$C$82:$J$251</definedName>
    <definedName name="_xlnm.Print_Area" localSheetId="4">'901 - VON'!$B$81:$J$136</definedName>
    <definedName name="_xlnm.Print_Area" localSheetId="0">'Rekapitulace stavby'!$B$81:$AP$101</definedName>
  </definedNames>
  <calcPr calcId="191029"/>
</workbook>
</file>

<file path=xl/calcChain.xml><?xml version="1.0" encoding="utf-8"?>
<calcChain xmlns="http://schemas.openxmlformats.org/spreadsheetml/2006/main">
  <c r="BK213" i="5" l="1"/>
  <c r="BI213" i="5"/>
  <c r="BH213" i="5"/>
  <c r="BG213" i="5"/>
  <c r="BF213" i="5"/>
  <c r="T213" i="5"/>
  <c r="R213" i="5"/>
  <c r="P213" i="5"/>
  <c r="J213" i="5"/>
  <c r="BE213" i="5" s="1"/>
  <c r="BK254" i="5" l="1"/>
  <c r="BI254" i="5"/>
  <c r="BH254" i="5"/>
  <c r="BG254" i="5"/>
  <c r="BF254" i="5"/>
  <c r="T254" i="5"/>
  <c r="R254" i="5"/>
  <c r="P254" i="5"/>
  <c r="J254" i="5"/>
  <c r="BE254" i="5" s="1"/>
  <c r="BK253" i="5"/>
  <c r="BI253" i="5"/>
  <c r="BH253" i="5"/>
  <c r="BG253" i="5"/>
  <c r="BF253" i="5"/>
  <c r="T253" i="5"/>
  <c r="R253" i="5"/>
  <c r="P253" i="5"/>
  <c r="J253" i="5"/>
  <c r="BE253" i="5" s="1"/>
  <c r="BK252" i="5"/>
  <c r="BI252" i="5"/>
  <c r="BH252" i="5"/>
  <c r="BG252" i="5"/>
  <c r="BF252" i="5"/>
  <c r="T252" i="5"/>
  <c r="R252" i="5"/>
  <c r="P252" i="5"/>
  <c r="J252" i="5"/>
  <c r="BE252" i="5" s="1"/>
  <c r="BK251" i="5"/>
  <c r="BI251" i="5"/>
  <c r="BH251" i="5"/>
  <c r="BG251" i="5"/>
  <c r="BF251" i="5"/>
  <c r="T251" i="5"/>
  <c r="R251" i="5"/>
  <c r="P251" i="5"/>
  <c r="J251" i="5"/>
  <c r="BE251" i="5" s="1"/>
  <c r="H129" i="2" l="1"/>
  <c r="H339" i="2" l="1"/>
  <c r="H340" i="2"/>
  <c r="H318" i="2" l="1"/>
  <c r="E109" i="6" l="1"/>
  <c r="BK135" i="6"/>
  <c r="BI135" i="6"/>
  <c r="BH135" i="6"/>
  <c r="BG135" i="6"/>
  <c r="BF135" i="6"/>
  <c r="BE135" i="6"/>
  <c r="T135" i="6"/>
  <c r="R135" i="6"/>
  <c r="P135" i="6"/>
  <c r="J135" i="6"/>
  <c r="BK375" i="2" l="1"/>
  <c r="BI375" i="2"/>
  <c r="BH375" i="2"/>
  <c r="BG375" i="2"/>
  <c r="BF375" i="2"/>
  <c r="T375" i="2"/>
  <c r="R375" i="2"/>
  <c r="P375" i="2"/>
  <c r="J375" i="2"/>
  <c r="BE375" i="2" s="1"/>
  <c r="BK383" i="2"/>
  <c r="BI383" i="2"/>
  <c r="BH383" i="2"/>
  <c r="BG383" i="2"/>
  <c r="BF383" i="2"/>
  <c r="T383" i="2"/>
  <c r="R383" i="2"/>
  <c r="P383" i="2"/>
  <c r="J383" i="2"/>
  <c r="BE383" i="2" s="1"/>
  <c r="BK382" i="2"/>
  <c r="BI382" i="2"/>
  <c r="BH382" i="2"/>
  <c r="BG382" i="2"/>
  <c r="BF382" i="2"/>
  <c r="T382" i="2"/>
  <c r="R382" i="2"/>
  <c r="P382" i="2"/>
  <c r="J382" i="2"/>
  <c r="BE382" i="2" s="1"/>
  <c r="H421" i="2"/>
  <c r="H260" i="2" l="1"/>
  <c r="J468" i="2" l="1"/>
  <c r="H190" i="5"/>
  <c r="H189" i="5" s="1"/>
  <c r="H188" i="5"/>
  <c r="H187" i="5" s="1"/>
  <c r="BI191" i="5"/>
  <c r="BH191" i="5"/>
  <c r="BG191" i="5"/>
  <c r="BF191" i="5"/>
  <c r="BI189" i="5"/>
  <c r="BH189" i="5"/>
  <c r="BG189" i="5"/>
  <c r="BF189" i="5"/>
  <c r="BI187" i="5"/>
  <c r="BH187" i="5"/>
  <c r="BG187" i="5"/>
  <c r="BF187" i="5"/>
  <c r="H165" i="5"/>
  <c r="H155" i="5"/>
  <c r="H143" i="5"/>
  <c r="H142" i="5" s="1"/>
  <c r="J142" i="5" s="1"/>
  <c r="BI142" i="5"/>
  <c r="BH142" i="5"/>
  <c r="BG142" i="5"/>
  <c r="BF142" i="5"/>
  <c r="BK247" i="5"/>
  <c r="BI247" i="5"/>
  <c r="BH247" i="5"/>
  <c r="BG247" i="5"/>
  <c r="BF247" i="5"/>
  <c r="T247" i="5"/>
  <c r="R247" i="5"/>
  <c r="P247" i="5"/>
  <c r="J247" i="5"/>
  <c r="BE247" i="5" s="1"/>
  <c r="BK221" i="5"/>
  <c r="BI221" i="5"/>
  <c r="BH221" i="5"/>
  <c r="BG221" i="5"/>
  <c r="BF221" i="5"/>
  <c r="T221" i="5"/>
  <c r="R221" i="5"/>
  <c r="P221" i="5"/>
  <c r="J221" i="5"/>
  <c r="BE221" i="5" s="1"/>
  <c r="BK220" i="5"/>
  <c r="BI220" i="5"/>
  <c r="BH220" i="5"/>
  <c r="BG220" i="5"/>
  <c r="BF220" i="5"/>
  <c r="T220" i="5"/>
  <c r="R220" i="5"/>
  <c r="P220" i="5"/>
  <c r="J220" i="5"/>
  <c r="BE220" i="5" s="1"/>
  <c r="BK219" i="5"/>
  <c r="BI219" i="5"/>
  <c r="BH219" i="5"/>
  <c r="BG219" i="5"/>
  <c r="BF219" i="5"/>
  <c r="T219" i="5"/>
  <c r="R219" i="5"/>
  <c r="P219" i="5"/>
  <c r="J219" i="5"/>
  <c r="BE219" i="5" s="1"/>
  <c r="BK218" i="5"/>
  <c r="BI218" i="5"/>
  <c r="BH218" i="5"/>
  <c r="BG218" i="5"/>
  <c r="BF218" i="5"/>
  <c r="T218" i="5"/>
  <c r="R218" i="5"/>
  <c r="P218" i="5"/>
  <c r="J218" i="5"/>
  <c r="BE218" i="5" s="1"/>
  <c r="T187" i="5" l="1"/>
  <c r="P187" i="5"/>
  <c r="BK187" i="5"/>
  <c r="R187" i="5"/>
  <c r="J187" i="5"/>
  <c r="BE187" i="5" s="1"/>
  <c r="T189" i="5"/>
  <c r="H192" i="5"/>
  <c r="H191" i="5" s="1"/>
  <c r="T191" i="5" s="1"/>
  <c r="BK189" i="5"/>
  <c r="J217" i="5"/>
  <c r="J189" i="5"/>
  <c r="BE189" i="5" s="1"/>
  <c r="P189" i="5"/>
  <c r="R189" i="5"/>
  <c r="BK191" i="5"/>
  <c r="R191" i="5"/>
  <c r="BE142" i="5"/>
  <c r="P142" i="5"/>
  <c r="BK142" i="5"/>
  <c r="R142" i="5"/>
  <c r="T142" i="5"/>
  <c r="P191" i="5" l="1"/>
  <c r="J191" i="5"/>
  <c r="BE191" i="5" s="1"/>
  <c r="H226" i="5" l="1"/>
  <c r="H225" i="5" s="1"/>
  <c r="H298" i="3"/>
  <c r="H294" i="3"/>
  <c r="H505" i="2"/>
  <c r="H503" i="2"/>
  <c r="H224" i="5"/>
  <c r="P217" i="5"/>
  <c r="BK217" i="5"/>
  <c r="H208" i="5"/>
  <c r="H207" i="5" s="1"/>
  <c r="H206" i="5"/>
  <c r="H205" i="5" s="1"/>
  <c r="H204" i="5"/>
  <c r="H203" i="5" s="1"/>
  <c r="H202" i="5"/>
  <c r="H201" i="5" s="1"/>
  <c r="H200" i="5"/>
  <c r="H199" i="5" s="1"/>
  <c r="H169" i="5"/>
  <c r="H159" i="5"/>
  <c r="H138" i="5"/>
  <c r="H137" i="5" s="1"/>
  <c r="H136" i="5"/>
  <c r="H135" i="5" s="1"/>
  <c r="H134" i="5"/>
  <c r="H133" i="5" s="1"/>
  <c r="H174" i="5"/>
  <c r="H232" i="2"/>
  <c r="H170" i="3"/>
  <c r="H181" i="3"/>
  <c r="H198" i="3"/>
  <c r="H180" i="3"/>
  <c r="H169" i="3"/>
  <c r="H208" i="2"/>
  <c r="H224" i="2"/>
  <c r="H243" i="2"/>
  <c r="H223" i="2"/>
  <c r="H207" i="2"/>
  <c r="H160" i="5" l="1"/>
  <c r="H154" i="5" s="1"/>
  <c r="H170" i="5"/>
  <c r="H164" i="5" s="1"/>
  <c r="H268" i="2"/>
  <c r="H270" i="2" s="1"/>
  <c r="H266" i="2" s="1"/>
  <c r="H271" i="2"/>
  <c r="R271" i="2" s="1"/>
  <c r="BI273" i="2"/>
  <c r="BH273" i="2"/>
  <c r="BG273" i="2"/>
  <c r="BF273" i="2"/>
  <c r="BI271" i="2"/>
  <c r="BH271" i="2"/>
  <c r="BG271" i="2"/>
  <c r="BF271" i="2"/>
  <c r="J215" i="3"/>
  <c r="J213" i="3"/>
  <c r="BK260" i="3"/>
  <c r="BI260" i="3"/>
  <c r="BH260" i="3"/>
  <c r="BG260" i="3"/>
  <c r="BF260" i="3"/>
  <c r="T260" i="3"/>
  <c r="R260" i="3"/>
  <c r="P260" i="3"/>
  <c r="J260" i="3"/>
  <c r="BE260" i="3" s="1"/>
  <c r="J274" i="3"/>
  <c r="BE274" i="3" s="1"/>
  <c r="J273" i="3"/>
  <c r="J272" i="3"/>
  <c r="J270" i="3"/>
  <c r="BE270" i="3" s="1"/>
  <c r="BK274" i="3"/>
  <c r="BI274" i="3"/>
  <c r="BH274" i="3"/>
  <c r="BG274" i="3"/>
  <c r="BF274" i="3"/>
  <c r="T274" i="3"/>
  <c r="R274" i="3"/>
  <c r="P274" i="3"/>
  <c r="BK273" i="3"/>
  <c r="BI273" i="3"/>
  <c r="BH273" i="3"/>
  <c r="BG273" i="3"/>
  <c r="BF273" i="3"/>
  <c r="BE273" i="3"/>
  <c r="T273" i="3"/>
  <c r="R273" i="3"/>
  <c r="P273" i="3"/>
  <c r="BK272" i="3"/>
  <c r="BI272" i="3"/>
  <c r="BH272" i="3"/>
  <c r="BG272" i="3"/>
  <c r="BF272" i="3"/>
  <c r="BE272" i="3"/>
  <c r="T272" i="3"/>
  <c r="R272" i="3"/>
  <c r="P272" i="3"/>
  <c r="BK270" i="3"/>
  <c r="BI270" i="3"/>
  <c r="BH270" i="3"/>
  <c r="BG270" i="3"/>
  <c r="BF270" i="3"/>
  <c r="T270" i="3"/>
  <c r="R270" i="3"/>
  <c r="P270" i="3"/>
  <c r="J264" i="3"/>
  <c r="J263" i="3"/>
  <c r="H256" i="3"/>
  <c r="BI262" i="3"/>
  <c r="BH262" i="3"/>
  <c r="BG262" i="3"/>
  <c r="BF262" i="3"/>
  <c r="BI255" i="3"/>
  <c r="BH255" i="3"/>
  <c r="BG255" i="3"/>
  <c r="BF255" i="3"/>
  <c r="BK254" i="3"/>
  <c r="BI254" i="3"/>
  <c r="BH254" i="3"/>
  <c r="BG254" i="3"/>
  <c r="BF254" i="3"/>
  <c r="T254" i="3"/>
  <c r="R254" i="3"/>
  <c r="P254" i="3"/>
  <c r="J254" i="3"/>
  <c r="BE254" i="3" s="1"/>
  <c r="BK261" i="3"/>
  <c r="BI261" i="3"/>
  <c r="BH261" i="3"/>
  <c r="BG261" i="3"/>
  <c r="BF261" i="3"/>
  <c r="T261" i="3"/>
  <c r="R261" i="3"/>
  <c r="P261" i="3"/>
  <c r="J261" i="3"/>
  <c r="BE261" i="3" s="1"/>
  <c r="H255" i="3" l="1"/>
  <c r="H262" i="3"/>
  <c r="J262" i="3" s="1"/>
  <c r="BE262" i="3" s="1"/>
  <c r="T271" i="2"/>
  <c r="H273" i="2"/>
  <c r="J271" i="2"/>
  <c r="BE271" i="2" s="1"/>
  <c r="BK271" i="2"/>
  <c r="P271" i="2"/>
  <c r="T255" i="3"/>
  <c r="BK255" i="3"/>
  <c r="J255" i="3"/>
  <c r="BE255" i="3" s="1"/>
  <c r="P255" i="3"/>
  <c r="R255" i="3"/>
  <c r="BK259" i="3"/>
  <c r="BI259" i="3"/>
  <c r="BH259" i="3"/>
  <c r="BG259" i="3"/>
  <c r="BF259" i="3"/>
  <c r="T259" i="3"/>
  <c r="R259" i="3"/>
  <c r="P259" i="3"/>
  <c r="J259" i="3"/>
  <c r="BE259" i="3" s="1"/>
  <c r="BK258" i="3"/>
  <c r="BI258" i="3"/>
  <c r="BH258" i="3"/>
  <c r="BG258" i="3"/>
  <c r="BF258" i="3"/>
  <c r="T258" i="3"/>
  <c r="R258" i="3"/>
  <c r="P258" i="3"/>
  <c r="J258" i="3"/>
  <c r="BE258" i="3" s="1"/>
  <c r="H297" i="3"/>
  <c r="H295" i="3"/>
  <c r="P295" i="3" s="1"/>
  <c r="BI295" i="3"/>
  <c r="BH295" i="3"/>
  <c r="BG295" i="3"/>
  <c r="BF295" i="3"/>
  <c r="H504" i="2"/>
  <c r="T504" i="2" s="1"/>
  <c r="BI504" i="2"/>
  <c r="BH504" i="2"/>
  <c r="BG504" i="2"/>
  <c r="BF504" i="2"/>
  <c r="H293" i="3"/>
  <c r="H291" i="3"/>
  <c r="H252" i="3"/>
  <c r="H247" i="3"/>
  <c r="H249" i="3" s="1"/>
  <c r="H182" i="3"/>
  <c r="H175" i="3"/>
  <c r="H174" i="3"/>
  <c r="H171" i="3"/>
  <c r="H225" i="2"/>
  <c r="H186" i="3"/>
  <c r="H185" i="3"/>
  <c r="H197" i="3"/>
  <c r="H199" i="3" s="1"/>
  <c r="H196" i="3" s="1"/>
  <c r="H194" i="3"/>
  <c r="H189" i="3"/>
  <c r="H178" i="3"/>
  <c r="H177" i="3" s="1"/>
  <c r="H243" i="3"/>
  <c r="H242" i="3" s="1"/>
  <c r="T242" i="3" s="1"/>
  <c r="BI242" i="3"/>
  <c r="BH242" i="3"/>
  <c r="BG242" i="3"/>
  <c r="BF242" i="3"/>
  <c r="H245" i="3"/>
  <c r="H244" i="3" s="1"/>
  <c r="H241" i="3"/>
  <c r="H240" i="3" s="1"/>
  <c r="H236" i="3"/>
  <c r="H235" i="3"/>
  <c r="H233" i="3"/>
  <c r="H232" i="3" s="1"/>
  <c r="H231" i="3"/>
  <c r="H229" i="3" s="1"/>
  <c r="H228" i="3"/>
  <c r="H226" i="3" s="1"/>
  <c r="T226" i="3" s="1"/>
  <c r="BI229" i="3"/>
  <c r="BH229" i="3"/>
  <c r="BG229" i="3"/>
  <c r="BF229" i="3"/>
  <c r="BI226" i="3"/>
  <c r="BH226" i="3"/>
  <c r="BG226" i="3"/>
  <c r="BF226" i="3"/>
  <c r="H225" i="3"/>
  <c r="H224" i="3" s="1"/>
  <c r="T224" i="3" s="1"/>
  <c r="BI224" i="3"/>
  <c r="BH224" i="3"/>
  <c r="BG224" i="3"/>
  <c r="BF224" i="3"/>
  <c r="H219" i="3"/>
  <c r="H218" i="3" s="1"/>
  <c r="T218" i="3" s="1"/>
  <c r="BI218" i="3"/>
  <c r="BH218" i="3"/>
  <c r="BG218" i="3"/>
  <c r="BF218" i="3"/>
  <c r="H223" i="3"/>
  <c r="H222" i="3" s="1"/>
  <c r="H221" i="3"/>
  <c r="H220" i="3" s="1"/>
  <c r="BK215" i="3"/>
  <c r="BI215" i="3"/>
  <c r="BH215" i="3"/>
  <c r="BG215" i="3"/>
  <c r="BF215" i="3"/>
  <c r="T215" i="3"/>
  <c r="R215" i="3"/>
  <c r="P215" i="3"/>
  <c r="BE215" i="3"/>
  <c r="BK213" i="3"/>
  <c r="BI213" i="3"/>
  <c r="BH213" i="3"/>
  <c r="BG213" i="3"/>
  <c r="BF213" i="3"/>
  <c r="T213" i="3"/>
  <c r="R213" i="3"/>
  <c r="P213" i="3"/>
  <c r="BK504" i="2" l="1"/>
  <c r="T273" i="2"/>
  <c r="P273" i="2"/>
  <c r="BK273" i="2"/>
  <c r="J273" i="2"/>
  <c r="BE273" i="2" s="1"/>
  <c r="R273" i="2"/>
  <c r="P504" i="2"/>
  <c r="R504" i="2"/>
  <c r="J504" i="2"/>
  <c r="BE504" i="2" s="1"/>
  <c r="BE213" i="3"/>
  <c r="T262" i="3"/>
  <c r="BK262" i="3"/>
  <c r="R262" i="3"/>
  <c r="P262" i="3"/>
  <c r="BK295" i="3"/>
  <c r="R295" i="3"/>
  <c r="T295" i="3"/>
  <c r="J295" i="3"/>
  <c r="BE295" i="3" s="1"/>
  <c r="H237" i="3"/>
  <c r="H234" i="3" s="1"/>
  <c r="J242" i="3"/>
  <c r="BE242" i="3" s="1"/>
  <c r="P242" i="3"/>
  <c r="BK242" i="3"/>
  <c r="R242" i="3"/>
  <c r="R229" i="3"/>
  <c r="T229" i="3"/>
  <c r="J226" i="3"/>
  <c r="BE226" i="3" s="1"/>
  <c r="P226" i="3"/>
  <c r="BK226" i="3"/>
  <c r="R226" i="3"/>
  <c r="J229" i="3"/>
  <c r="BE229" i="3" s="1"/>
  <c r="P229" i="3"/>
  <c r="BK229" i="3"/>
  <c r="J224" i="3"/>
  <c r="BE224" i="3" s="1"/>
  <c r="BK224" i="3"/>
  <c r="P224" i="3"/>
  <c r="R224" i="3"/>
  <c r="J218" i="3"/>
  <c r="P218" i="3"/>
  <c r="BK218" i="3"/>
  <c r="R218" i="3"/>
  <c r="BE218" i="3" l="1"/>
  <c r="H212" i="3" l="1"/>
  <c r="H211" i="3" s="1"/>
  <c r="H184" i="3" s="1"/>
  <c r="H173" i="3" s="1"/>
  <c r="H209" i="3"/>
  <c r="H208" i="3" s="1"/>
  <c r="H201" i="3"/>
  <c r="H200" i="3" s="1"/>
  <c r="H191" i="3"/>
  <c r="H190" i="3" s="1"/>
  <c r="H188" i="3"/>
  <c r="H166" i="3"/>
  <c r="H165" i="3" s="1"/>
  <c r="H167" i="3" s="1"/>
  <c r="H164" i="3"/>
  <c r="H163" i="3" s="1"/>
  <c r="H158" i="3"/>
  <c r="H157" i="3"/>
  <c r="H154" i="3"/>
  <c r="H152" i="3" s="1"/>
  <c r="BI147" i="3"/>
  <c r="BH147" i="3"/>
  <c r="BG147" i="3"/>
  <c r="BF147" i="3"/>
  <c r="H147" i="3"/>
  <c r="R147" i="3" s="1"/>
  <c r="H146" i="3"/>
  <c r="H143" i="3" s="1"/>
  <c r="BI143" i="3"/>
  <c r="BH143" i="3"/>
  <c r="BG143" i="3"/>
  <c r="BF143" i="3"/>
  <c r="H142" i="3"/>
  <c r="H140" i="3" s="1"/>
  <c r="T140" i="3" s="1"/>
  <c r="BI140" i="3"/>
  <c r="BH140" i="3"/>
  <c r="BG140" i="3"/>
  <c r="BF140" i="3"/>
  <c r="H139" i="3"/>
  <c r="H136" i="3" s="1"/>
  <c r="T136" i="3" s="1"/>
  <c r="BI136" i="3"/>
  <c r="BH136" i="3"/>
  <c r="BG136" i="3"/>
  <c r="BF136" i="3"/>
  <c r="H132" i="3"/>
  <c r="H134" i="3"/>
  <c r="H133" i="3"/>
  <c r="H130" i="2"/>
  <c r="H130" i="3"/>
  <c r="H129" i="3" s="1"/>
  <c r="R129" i="3" s="1"/>
  <c r="BI129" i="3"/>
  <c r="BH129" i="3"/>
  <c r="BG129" i="3"/>
  <c r="BF129" i="3"/>
  <c r="BF131" i="3"/>
  <c r="BG131" i="3"/>
  <c r="BH131" i="3"/>
  <c r="BI131" i="3"/>
  <c r="H203" i="3" l="1"/>
  <c r="H202" i="3" s="1"/>
  <c r="H183" i="3"/>
  <c r="H187" i="3" s="1"/>
  <c r="H159" i="3"/>
  <c r="H135" i="3"/>
  <c r="H131" i="3" s="1"/>
  <c r="T131" i="3" s="1"/>
  <c r="T147" i="3"/>
  <c r="J143" i="3"/>
  <c r="BE143" i="3" s="1"/>
  <c r="R143" i="3"/>
  <c r="BK143" i="3"/>
  <c r="P143" i="3"/>
  <c r="T143" i="3"/>
  <c r="J140" i="3"/>
  <c r="BE140" i="3" s="1"/>
  <c r="P140" i="3"/>
  <c r="BK140" i="3"/>
  <c r="R140" i="3"/>
  <c r="J147" i="3"/>
  <c r="BE147" i="3" s="1"/>
  <c r="P147" i="3"/>
  <c r="BK147" i="3"/>
  <c r="J136" i="3"/>
  <c r="BE136" i="3" s="1"/>
  <c r="P136" i="3"/>
  <c r="BK136" i="3"/>
  <c r="R136" i="3"/>
  <c r="J129" i="3"/>
  <c r="T129" i="3"/>
  <c r="P129" i="3"/>
  <c r="BK129" i="3"/>
  <c r="BE129" i="3" l="1"/>
  <c r="H172" i="3"/>
  <c r="H179" i="3"/>
  <c r="H162" i="3"/>
  <c r="H161" i="3" s="1"/>
  <c r="H193" i="3"/>
  <c r="H195" i="3" s="1"/>
  <c r="H192" i="3" s="1"/>
  <c r="H160" i="3"/>
  <c r="H155" i="3" s="1"/>
  <c r="P131" i="3"/>
  <c r="J131" i="3"/>
  <c r="BE131" i="3" s="1"/>
  <c r="R131" i="3"/>
  <c r="BK131" i="3"/>
  <c r="H168" i="3" l="1"/>
  <c r="H176" i="3"/>
  <c r="H289" i="2"/>
  <c r="H287" i="2" s="1"/>
  <c r="T287" i="2" s="1"/>
  <c r="H286" i="2"/>
  <c r="H284" i="2" s="1"/>
  <c r="R284" i="2" s="1"/>
  <c r="BI287" i="2"/>
  <c r="BH287" i="2"/>
  <c r="BG287" i="2"/>
  <c r="BF287" i="2"/>
  <c r="H510" i="2"/>
  <c r="H506" i="2" s="1"/>
  <c r="H502" i="2"/>
  <c r="H501" i="2"/>
  <c r="H497" i="2" s="1"/>
  <c r="H213" i="2"/>
  <c r="H229" i="2"/>
  <c r="H146" i="2"/>
  <c r="H145" i="2" s="1"/>
  <c r="BI145" i="2"/>
  <c r="BH145" i="2"/>
  <c r="BG145" i="2"/>
  <c r="BF145" i="2"/>
  <c r="H143" i="2"/>
  <c r="BI284" i="2"/>
  <c r="BH284" i="2"/>
  <c r="BG284" i="2"/>
  <c r="BF284" i="2"/>
  <c r="J287" i="2" l="1"/>
  <c r="BE287" i="2" s="1"/>
  <c r="P287" i="2"/>
  <c r="BK287" i="2"/>
  <c r="R287" i="2"/>
  <c r="BK145" i="2"/>
  <c r="J145" i="2"/>
  <c r="BE145" i="2" s="1"/>
  <c r="T145" i="2"/>
  <c r="R145" i="2"/>
  <c r="P145" i="2"/>
  <c r="J284" i="2"/>
  <c r="BE284" i="2" s="1"/>
  <c r="T284" i="2"/>
  <c r="P284" i="2"/>
  <c r="BK284" i="2"/>
  <c r="H228" i="2" l="1"/>
  <c r="H212" i="2"/>
  <c r="BK134" i="6" l="1"/>
  <c r="BI134" i="6"/>
  <c r="BH134" i="6"/>
  <c r="BG134" i="6"/>
  <c r="BF134" i="6"/>
  <c r="BE134" i="6"/>
  <c r="T134" i="6"/>
  <c r="R134" i="6"/>
  <c r="P134" i="6"/>
  <c r="J134" i="6"/>
  <c r="BK133" i="6"/>
  <c r="BI133" i="6"/>
  <c r="BH133" i="6"/>
  <c r="BG133" i="6"/>
  <c r="BF133" i="6"/>
  <c r="T133" i="6"/>
  <c r="R133" i="6"/>
  <c r="P133" i="6"/>
  <c r="J133" i="6"/>
  <c r="BE133" i="6" s="1"/>
  <c r="BK132" i="6"/>
  <c r="BI132" i="6"/>
  <c r="BH132" i="6"/>
  <c r="BG132" i="6"/>
  <c r="BF132" i="6"/>
  <c r="T132" i="6"/>
  <c r="R132" i="6"/>
  <c r="P132" i="6"/>
  <c r="J132" i="6"/>
  <c r="BE132" i="6" s="1"/>
  <c r="BK131" i="6"/>
  <c r="BI131" i="6"/>
  <c r="BH131" i="6"/>
  <c r="BG131" i="6"/>
  <c r="BF131" i="6"/>
  <c r="T131" i="6"/>
  <c r="R131" i="6"/>
  <c r="P131" i="6"/>
  <c r="J131" i="6"/>
  <c r="BE131" i="6" s="1"/>
  <c r="J130" i="6"/>
  <c r="BK129" i="6"/>
  <c r="BI129" i="6"/>
  <c r="BH129" i="6"/>
  <c r="BG129" i="6"/>
  <c r="BF129" i="6"/>
  <c r="T129" i="6"/>
  <c r="R129" i="6"/>
  <c r="P129" i="6"/>
  <c r="J129" i="6"/>
  <c r="BE129" i="6" s="1"/>
  <c r="BK128" i="6"/>
  <c r="BI128" i="6"/>
  <c r="BH128" i="6"/>
  <c r="BG128" i="6"/>
  <c r="BF128" i="6"/>
  <c r="T128" i="6"/>
  <c r="R128" i="6"/>
  <c r="P128" i="6"/>
  <c r="J128" i="6"/>
  <c r="BE128" i="6" s="1"/>
  <c r="BK127" i="6"/>
  <c r="BI127" i="6"/>
  <c r="BH127" i="6"/>
  <c r="BG127" i="6"/>
  <c r="BF127" i="6"/>
  <c r="BE127" i="6"/>
  <c r="T127" i="6"/>
  <c r="R127" i="6"/>
  <c r="P127" i="6"/>
  <c r="J127" i="6"/>
  <c r="BK126" i="6"/>
  <c r="BI126" i="6"/>
  <c r="BH126" i="6"/>
  <c r="BG126" i="6"/>
  <c r="BF126" i="6"/>
  <c r="T126" i="6"/>
  <c r="R126" i="6"/>
  <c r="P126" i="6"/>
  <c r="J126" i="6"/>
  <c r="BE126" i="6" s="1"/>
  <c r="BK125" i="6"/>
  <c r="BI125" i="6"/>
  <c r="BH125" i="6"/>
  <c r="BG125" i="6"/>
  <c r="BF125" i="6"/>
  <c r="T125" i="6"/>
  <c r="R125" i="6"/>
  <c r="P125" i="6"/>
  <c r="J125" i="6"/>
  <c r="BE125" i="6" s="1"/>
  <c r="BK124" i="6"/>
  <c r="BI124" i="6"/>
  <c r="BH124" i="6"/>
  <c r="BG124" i="6"/>
  <c r="BF124" i="6"/>
  <c r="T124" i="6"/>
  <c r="R124" i="6"/>
  <c r="P124" i="6"/>
  <c r="J124" i="6"/>
  <c r="BE124" i="6" s="1"/>
  <c r="BK123" i="6"/>
  <c r="BI123" i="6"/>
  <c r="BH123" i="6"/>
  <c r="BG123" i="6"/>
  <c r="BF123" i="6"/>
  <c r="T123" i="6"/>
  <c r="R123" i="6"/>
  <c r="P123" i="6"/>
  <c r="J123" i="6"/>
  <c r="BE123" i="6" s="1"/>
  <c r="BK122" i="6"/>
  <c r="BI122" i="6"/>
  <c r="BH122" i="6"/>
  <c r="BG122" i="6"/>
  <c r="BF122" i="6"/>
  <c r="BE122" i="6"/>
  <c r="T122" i="6"/>
  <c r="R122" i="6"/>
  <c r="P122" i="6"/>
  <c r="J122" i="6"/>
  <c r="BK121" i="6"/>
  <c r="BI121" i="6"/>
  <c r="BH121" i="6"/>
  <c r="BG121" i="6"/>
  <c r="BF121" i="6"/>
  <c r="T121" i="6"/>
  <c r="R121" i="6"/>
  <c r="P121" i="6"/>
  <c r="J121" i="6"/>
  <c r="BE121" i="6" s="1"/>
  <c r="BK120" i="6"/>
  <c r="BI120" i="6"/>
  <c r="BH120" i="6"/>
  <c r="BG120" i="6"/>
  <c r="BF120" i="6"/>
  <c r="T120" i="6"/>
  <c r="R120" i="6"/>
  <c r="P120" i="6"/>
  <c r="J120" i="6"/>
  <c r="BE120" i="6" s="1"/>
  <c r="BK119" i="6"/>
  <c r="BI119" i="6"/>
  <c r="BH119" i="6"/>
  <c r="BG119" i="6"/>
  <c r="BF119" i="6"/>
  <c r="T119" i="6"/>
  <c r="R119" i="6"/>
  <c r="P119" i="6"/>
  <c r="J119" i="6"/>
  <c r="BE119" i="6" l="1"/>
  <c r="J118" i="6"/>
  <c r="J117" i="6" s="1"/>
  <c r="BK495" i="2"/>
  <c r="BI495" i="2"/>
  <c r="BH495" i="2"/>
  <c r="BG495" i="2"/>
  <c r="BF495" i="2"/>
  <c r="T495" i="2"/>
  <c r="R495" i="2"/>
  <c r="P495" i="2"/>
  <c r="J495" i="2"/>
  <c r="BE495" i="2" s="1"/>
  <c r="BK494" i="2"/>
  <c r="BI494" i="2"/>
  <c r="BH494" i="2"/>
  <c r="BG494" i="2"/>
  <c r="BF494" i="2"/>
  <c r="T494" i="2"/>
  <c r="R494" i="2"/>
  <c r="P494" i="2"/>
  <c r="J494" i="2"/>
  <c r="BE494" i="2" s="1"/>
  <c r="H460" i="2"/>
  <c r="BF463" i="2"/>
  <c r="BG463" i="2"/>
  <c r="BH463" i="2"/>
  <c r="BI463" i="2"/>
  <c r="J467" i="2"/>
  <c r="J466" i="2"/>
  <c r="J185" i="2"/>
  <c r="J465" i="2"/>
  <c r="J464" i="2"/>
  <c r="J409" i="2" l="1"/>
  <c r="H408" i="2"/>
  <c r="J408" i="2" s="1"/>
  <c r="H407" i="2"/>
  <c r="H406" i="2"/>
  <c r="H449" i="2" s="1"/>
  <c r="BK408" i="2" l="1"/>
  <c r="BI408" i="2"/>
  <c r="BH408" i="2"/>
  <c r="BG408" i="2"/>
  <c r="BF408" i="2"/>
  <c r="T408" i="2"/>
  <c r="R408" i="2"/>
  <c r="P408" i="2"/>
  <c r="BE408" i="2"/>
  <c r="BK492" i="2"/>
  <c r="BI492" i="2"/>
  <c r="BH492" i="2"/>
  <c r="BG492" i="2"/>
  <c r="BF492" i="2"/>
  <c r="T492" i="2"/>
  <c r="R492" i="2"/>
  <c r="P492" i="2"/>
  <c r="J492" i="2"/>
  <c r="BE492" i="2" s="1"/>
  <c r="H483" i="2"/>
  <c r="H482" i="2"/>
  <c r="H479" i="2"/>
  <c r="H478" i="2"/>
  <c r="H475" i="2"/>
  <c r="H474" i="2"/>
  <c r="H480" i="2" l="1"/>
  <c r="H477" i="2" s="1"/>
  <c r="H484" i="2"/>
  <c r="H481" i="2" s="1"/>
  <c r="H476" i="2"/>
  <c r="H473" i="2" s="1"/>
  <c r="H263" i="2"/>
  <c r="BI328" i="2"/>
  <c r="BH328" i="2"/>
  <c r="BG328" i="2"/>
  <c r="BF328" i="2"/>
  <c r="T328" i="2"/>
  <c r="BK330" i="2"/>
  <c r="BI330" i="2"/>
  <c r="BH330" i="2"/>
  <c r="BG330" i="2"/>
  <c r="BF330" i="2"/>
  <c r="T330" i="2"/>
  <c r="R330" i="2"/>
  <c r="P330" i="2"/>
  <c r="J330" i="2"/>
  <c r="BE330" i="2" s="1"/>
  <c r="BI329" i="2"/>
  <c r="BH329" i="2"/>
  <c r="BG329" i="2"/>
  <c r="BF329" i="2"/>
  <c r="T329" i="2"/>
  <c r="H312" i="2"/>
  <c r="H311" i="2" s="1"/>
  <c r="H309" i="2"/>
  <c r="H308" i="2" s="1"/>
  <c r="H307" i="2"/>
  <c r="H306" i="2" s="1"/>
  <c r="H305" i="2"/>
  <c r="H304" i="2" s="1"/>
  <c r="H303" i="2"/>
  <c r="H302" i="2" s="1"/>
  <c r="H301" i="2"/>
  <c r="H300" i="2" s="1"/>
  <c r="H298" i="2"/>
  <c r="H293" i="2"/>
  <c r="H297" i="2"/>
  <c r="H292" i="2"/>
  <c r="H281" i="2"/>
  <c r="H280" i="2" s="1"/>
  <c r="H279" i="2"/>
  <c r="H278" i="2" s="1"/>
  <c r="H283" i="2"/>
  <c r="H282" i="2" s="1"/>
  <c r="H277" i="2"/>
  <c r="H276" i="2" s="1"/>
  <c r="J328" i="2" l="1"/>
  <c r="BE328" i="2" s="1"/>
  <c r="P328" i="2"/>
  <c r="BK328" i="2"/>
  <c r="R328" i="2"/>
  <c r="J329" i="2"/>
  <c r="BE329" i="2" s="1"/>
  <c r="P329" i="2"/>
  <c r="BK329" i="2"/>
  <c r="R329" i="2"/>
  <c r="H294" i="2"/>
  <c r="H290" i="2" s="1"/>
  <c r="H299" i="2"/>
  <c r="H295" i="2" s="1"/>
  <c r="H264" i="2" l="1"/>
  <c r="H265" i="2" s="1"/>
  <c r="H262" i="2" s="1"/>
  <c r="H211" i="2" s="1"/>
  <c r="H227" i="2" s="1"/>
  <c r="H209" i="2"/>
  <c r="H259" i="2"/>
  <c r="H189" i="2"/>
  <c r="H258" i="2"/>
  <c r="H257" i="2" s="1"/>
  <c r="H256" i="2"/>
  <c r="H254" i="2" s="1"/>
  <c r="H253" i="2"/>
  <c r="H251" i="2" s="1"/>
  <c r="H250" i="2"/>
  <c r="H249" i="2" s="1"/>
  <c r="H247" i="2"/>
  <c r="H246" i="2"/>
  <c r="H242" i="2"/>
  <c r="H241" i="2"/>
  <c r="H244" i="2" l="1"/>
  <c r="H248" i="2"/>
  <c r="H245" i="2" s="1"/>
  <c r="H210" i="2" s="1"/>
  <c r="H226" i="2" s="1"/>
  <c r="H230" i="2" s="1"/>
  <c r="H240" i="2"/>
  <c r="H238" i="2"/>
  <c r="H337" i="2"/>
  <c r="H331" i="2" s="1"/>
  <c r="H320" i="2"/>
  <c r="H323" i="2" s="1"/>
  <c r="H234" i="2"/>
  <c r="H233" i="2" s="1"/>
  <c r="H231" i="2"/>
  <c r="H221" i="2"/>
  <c r="H220" i="2" s="1"/>
  <c r="H217" i="2"/>
  <c r="H216" i="2"/>
  <c r="H215" i="2" s="1"/>
  <c r="H204" i="2"/>
  <c r="H192" i="2" s="1"/>
  <c r="H163" i="2"/>
  <c r="H161" i="2" s="1"/>
  <c r="H142" i="2"/>
  <c r="H139" i="2"/>
  <c r="H140" i="2" s="1"/>
  <c r="H138" i="2" s="1"/>
  <c r="H135" i="2"/>
  <c r="H136" i="2"/>
  <c r="H132" i="2"/>
  <c r="H131" i="2"/>
  <c r="H128" i="2"/>
  <c r="H127" i="2" s="1"/>
  <c r="H184" i="2"/>
  <c r="H177" i="2" s="1"/>
  <c r="H314" i="2" l="1"/>
  <c r="H325" i="2"/>
  <c r="H327" i="2" s="1"/>
  <c r="H324" i="2" s="1"/>
  <c r="H133" i="2"/>
  <c r="H214" i="2"/>
  <c r="H206" i="2" s="1"/>
  <c r="H222" i="2"/>
  <c r="H144" i="2"/>
  <c r="H141" i="2" s="1"/>
  <c r="H443" i="2"/>
  <c r="H439" i="2" s="1"/>
  <c r="H237" i="2"/>
  <c r="H338" i="2"/>
  <c r="H446" i="2"/>
  <c r="H440" i="2" s="1"/>
  <c r="XFD244" i="2"/>
  <c r="H183" i="2"/>
  <c r="H137" i="2"/>
  <c r="H134" i="2" s="1"/>
  <c r="H441" i="2" l="1"/>
  <c r="H438" i="2" s="1"/>
  <c r="H176" i="2"/>
  <c r="H178" i="2" s="1"/>
  <c r="H236" i="2" s="1"/>
  <c r="H239" i="2" s="1"/>
  <c r="H235" i="2" s="1"/>
  <c r="H448" i="2" l="1"/>
  <c r="H450" i="2" s="1"/>
  <c r="H447" i="2" s="1"/>
  <c r="H463" i="2" s="1"/>
  <c r="H179" i="2"/>
  <c r="H164" i="2" s="1"/>
  <c r="H181" i="2"/>
  <c r="H182" i="2" s="1"/>
  <c r="H180" i="2" s="1"/>
  <c r="J463" i="2" l="1"/>
  <c r="BE463" i="2" s="1"/>
  <c r="BK463" i="2"/>
  <c r="R463" i="2"/>
  <c r="P463" i="2"/>
  <c r="T463" i="2"/>
  <c r="J37" i="6"/>
  <c r="J36" i="6"/>
  <c r="AY99" i="1" s="1"/>
  <c r="J35" i="6"/>
  <c r="AX99" i="1" s="1"/>
  <c r="F111" i="6"/>
  <c r="F89" i="6"/>
  <c r="J24" i="6"/>
  <c r="E24" i="6"/>
  <c r="J114" i="6" s="1"/>
  <c r="J23" i="6"/>
  <c r="J21" i="6"/>
  <c r="E21" i="6"/>
  <c r="J113" i="6" s="1"/>
  <c r="J20" i="6"/>
  <c r="J18" i="6"/>
  <c r="E18" i="6"/>
  <c r="F92" i="6"/>
  <c r="J17" i="6"/>
  <c r="J15" i="6"/>
  <c r="E15" i="6"/>
  <c r="F113" i="6" s="1"/>
  <c r="J14" i="6"/>
  <c r="J12" i="6"/>
  <c r="J89" i="6" s="1"/>
  <c r="E7" i="6"/>
  <c r="E85" i="6" s="1"/>
  <c r="J39" i="5"/>
  <c r="J38" i="5"/>
  <c r="AY98" i="1" s="1"/>
  <c r="J37" i="5"/>
  <c r="AX98" i="1" s="1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5" i="5"/>
  <c r="BH235" i="5"/>
  <c r="BG235" i="5"/>
  <c r="BF235" i="5"/>
  <c r="T235" i="5"/>
  <c r="R235" i="5"/>
  <c r="P235" i="5"/>
  <c r="BI231" i="5"/>
  <c r="BH231" i="5"/>
  <c r="BG231" i="5"/>
  <c r="BF231" i="5"/>
  <c r="T231" i="5"/>
  <c r="R231" i="5"/>
  <c r="P231" i="5"/>
  <c r="BI228" i="5"/>
  <c r="BH228" i="5"/>
  <c r="BG228" i="5"/>
  <c r="BF228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14" i="5"/>
  <c r="BH214" i="5"/>
  <c r="BG214" i="5"/>
  <c r="BF214" i="5"/>
  <c r="T214" i="5"/>
  <c r="R214" i="5"/>
  <c r="P214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4" i="5"/>
  <c r="BH194" i="5"/>
  <c r="BG194" i="5"/>
  <c r="BF194" i="5"/>
  <c r="T194" i="5"/>
  <c r="T193" i="5" s="1"/>
  <c r="R194" i="5"/>
  <c r="R193" i="5" s="1"/>
  <c r="P194" i="5"/>
  <c r="P193" i="5" s="1"/>
  <c r="BI184" i="5"/>
  <c r="BH184" i="5"/>
  <c r="BG184" i="5"/>
  <c r="BF184" i="5"/>
  <c r="T184" i="5"/>
  <c r="R184" i="5"/>
  <c r="P184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4" i="5"/>
  <c r="BH154" i="5"/>
  <c r="BG154" i="5"/>
  <c r="BF154" i="5"/>
  <c r="T154" i="5"/>
  <c r="R154" i="5"/>
  <c r="P154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F124" i="5"/>
  <c r="E122" i="5"/>
  <c r="F91" i="5"/>
  <c r="E89" i="5"/>
  <c r="J26" i="5"/>
  <c r="E26" i="5"/>
  <c r="J94" i="5" s="1"/>
  <c r="J25" i="5"/>
  <c r="J23" i="5"/>
  <c r="E23" i="5"/>
  <c r="J126" i="5" s="1"/>
  <c r="J22" i="5"/>
  <c r="J20" i="5"/>
  <c r="E20" i="5"/>
  <c r="F94" i="5" s="1"/>
  <c r="J19" i="5"/>
  <c r="J17" i="5"/>
  <c r="E17" i="5"/>
  <c r="F126" i="5" s="1"/>
  <c r="J16" i="5"/>
  <c r="J14" i="5"/>
  <c r="J91" i="5" s="1"/>
  <c r="E7" i="5"/>
  <c r="E118" i="5" s="1"/>
  <c r="J37" i="3"/>
  <c r="J36" i="3"/>
  <c r="AY96" i="1" s="1"/>
  <c r="J35" i="3"/>
  <c r="AX96" i="1" s="1"/>
  <c r="BI303" i="3"/>
  <c r="BH303" i="3"/>
  <c r="BG303" i="3"/>
  <c r="BF303" i="3"/>
  <c r="T303" i="3"/>
  <c r="T302" i="3" s="1"/>
  <c r="T301" i="3" s="1"/>
  <c r="R303" i="3"/>
  <c r="R302" i="3" s="1"/>
  <c r="R301" i="3" s="1"/>
  <c r="P303" i="3"/>
  <c r="P302" i="3" s="1"/>
  <c r="P301" i="3" s="1"/>
  <c r="BI300" i="3"/>
  <c r="BH300" i="3"/>
  <c r="BG300" i="3"/>
  <c r="BF300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F120" i="3"/>
  <c r="E118" i="3"/>
  <c r="F89" i="3"/>
  <c r="E87" i="3"/>
  <c r="J24" i="3"/>
  <c r="E24" i="3"/>
  <c r="J92" i="3" s="1"/>
  <c r="J23" i="3"/>
  <c r="J21" i="3"/>
  <c r="E21" i="3"/>
  <c r="J122" i="3" s="1"/>
  <c r="J20" i="3"/>
  <c r="J18" i="3"/>
  <c r="E18" i="3"/>
  <c r="F123" i="3" s="1"/>
  <c r="J17" i="3"/>
  <c r="J15" i="3"/>
  <c r="E15" i="3"/>
  <c r="F122" i="3" s="1"/>
  <c r="J14" i="3"/>
  <c r="J12" i="3"/>
  <c r="J89" i="3" s="1"/>
  <c r="E7" i="3"/>
  <c r="E116" i="3" s="1"/>
  <c r="J37" i="2"/>
  <c r="J36" i="2"/>
  <c r="AY95" i="1" s="1"/>
  <c r="J35" i="2"/>
  <c r="AX95" i="1" s="1"/>
  <c r="BI512" i="2"/>
  <c r="BH512" i="2"/>
  <c r="BG512" i="2"/>
  <c r="BF512" i="2"/>
  <c r="BI506" i="2"/>
  <c r="BH506" i="2"/>
  <c r="BG506" i="2"/>
  <c r="BF506" i="2"/>
  <c r="T506" i="2"/>
  <c r="R506" i="2"/>
  <c r="P506" i="2"/>
  <c r="BI502" i="2"/>
  <c r="BH502" i="2"/>
  <c r="BG502" i="2"/>
  <c r="BF502" i="2"/>
  <c r="T502" i="2"/>
  <c r="R502" i="2"/>
  <c r="P502" i="2"/>
  <c r="BI497" i="2"/>
  <c r="BH497" i="2"/>
  <c r="BG497" i="2"/>
  <c r="BF497" i="2"/>
  <c r="T497" i="2"/>
  <c r="R497" i="2"/>
  <c r="P497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3" i="2"/>
  <c r="BH473" i="2"/>
  <c r="BG473" i="2"/>
  <c r="BF473" i="2"/>
  <c r="T473" i="2"/>
  <c r="R473" i="2"/>
  <c r="P473" i="2"/>
  <c r="BI469" i="2"/>
  <c r="BH469" i="2"/>
  <c r="BG469" i="2"/>
  <c r="BF469" i="2"/>
  <c r="T469" i="2"/>
  <c r="R469" i="2"/>
  <c r="P469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1" i="2"/>
  <c r="BH331" i="2"/>
  <c r="BG331" i="2"/>
  <c r="BF331" i="2"/>
  <c r="T331" i="2"/>
  <c r="R331" i="2"/>
  <c r="P331" i="2"/>
  <c r="BI324" i="2"/>
  <c r="BH324" i="2"/>
  <c r="BG324" i="2"/>
  <c r="BF324" i="2"/>
  <c r="T324" i="2"/>
  <c r="R324" i="2"/>
  <c r="P324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F118" i="2"/>
  <c r="E116" i="2"/>
  <c r="F89" i="2"/>
  <c r="E87" i="2"/>
  <c r="J24" i="2"/>
  <c r="E24" i="2"/>
  <c r="J92" i="2" s="1"/>
  <c r="J23" i="2"/>
  <c r="J21" i="2"/>
  <c r="E21" i="2"/>
  <c r="J120" i="2" s="1"/>
  <c r="J20" i="2"/>
  <c r="J18" i="2"/>
  <c r="E18" i="2"/>
  <c r="F121" i="2" s="1"/>
  <c r="J17" i="2"/>
  <c r="J15" i="2"/>
  <c r="E15" i="2"/>
  <c r="F120" i="2" s="1"/>
  <c r="J14" i="2"/>
  <c r="J12" i="2"/>
  <c r="J118" i="2" s="1"/>
  <c r="E7" i="2"/>
  <c r="E85" i="2" s="1"/>
  <c r="L90" i="1"/>
  <c r="AM90" i="1"/>
  <c r="AM89" i="1"/>
  <c r="L89" i="1"/>
  <c r="AM87" i="1"/>
  <c r="L87" i="1"/>
  <c r="L85" i="1"/>
  <c r="L84" i="1"/>
  <c r="BK481" i="2"/>
  <c r="J369" i="2"/>
  <c r="J220" i="2"/>
  <c r="BK134" i="2"/>
  <c r="BK451" i="2"/>
  <c r="J413" i="2"/>
  <c r="J364" i="2"/>
  <c r="BK259" i="2"/>
  <c r="BK147" i="2"/>
  <c r="BK424" i="2"/>
  <c r="J342" i="2"/>
  <c r="J469" i="2"/>
  <c r="J420" i="2"/>
  <c r="BK369" i="2"/>
  <c r="BK215" i="2"/>
  <c r="BK477" i="2"/>
  <c r="BK414" i="2"/>
  <c r="BK405" i="2"/>
  <c r="BK366" i="2"/>
  <c r="BK404" i="2"/>
  <c r="J378" i="2"/>
  <c r="BK342" i="2"/>
  <c r="J460" i="2"/>
  <c r="J380" i="2"/>
  <c r="J295" i="2"/>
  <c r="J455" i="2"/>
  <c r="BK418" i="2"/>
  <c r="BK339" i="2"/>
  <c r="BK220" i="2"/>
  <c r="J405" i="2"/>
  <c r="J360" i="2"/>
  <c r="J235" i="2"/>
  <c r="BK251" i="2"/>
  <c r="BK358" i="2"/>
  <c r="J205" i="2"/>
  <c r="BK267" i="3"/>
  <c r="J291" i="3"/>
  <c r="BK196" i="3"/>
  <c r="BK249" i="3"/>
  <c r="BK253" i="3"/>
  <c r="BK278" i="3"/>
  <c r="BK282" i="3"/>
  <c r="J244" i="3"/>
  <c r="J271" i="3"/>
  <c r="BK149" i="3"/>
  <c r="BK188" i="3"/>
  <c r="J248" i="5"/>
  <c r="J199" i="5"/>
  <c r="J244" i="5"/>
  <c r="BK184" i="5"/>
  <c r="BK243" i="5"/>
  <c r="BK201" i="5"/>
  <c r="BK144" i="5"/>
  <c r="J456" i="2"/>
  <c r="J341" i="2"/>
  <c r="J431" i="2"/>
  <c r="BK395" i="2"/>
  <c r="J308" i="2"/>
  <c r="BK245" i="2"/>
  <c r="BK129" i="2"/>
  <c r="J438" i="2"/>
  <c r="BK401" i="2"/>
  <c r="BK352" i="2"/>
  <c r="BK302" i="2"/>
  <c r="BK152" i="2"/>
  <c r="J432" i="2"/>
  <c r="BK345" i="2"/>
  <c r="J254" i="2"/>
  <c r="BK427" i="2"/>
  <c r="BK388" i="2"/>
  <c r="BK324" i="2"/>
  <c r="J251" i="2"/>
  <c r="BK379" i="2"/>
  <c r="J282" i="2"/>
  <c r="BK158" i="2"/>
  <c r="BK351" i="2"/>
  <c r="J345" i="2"/>
  <c r="BK155" i="2"/>
  <c r="BK297" i="3"/>
  <c r="J275" i="3"/>
  <c r="BK220" i="3"/>
  <c r="BK165" i="3"/>
  <c r="BK202" i="3"/>
  <c r="BK284" i="3"/>
  <c r="J190" i="3"/>
  <c r="J249" i="3"/>
  <c r="BK161" i="3"/>
  <c r="J284" i="3"/>
  <c r="J277" i="3"/>
  <c r="J155" i="3"/>
  <c r="J280" i="3"/>
  <c r="J179" i="3"/>
  <c r="J220" i="3"/>
  <c r="J202" i="3"/>
  <c r="J246" i="5"/>
  <c r="BK171" i="5"/>
  <c r="BK244" i="5"/>
  <c r="J176" i="5"/>
  <c r="BK231" i="5"/>
  <c r="J376" i="2"/>
  <c r="J278" i="2"/>
  <c r="BK161" i="2"/>
  <c r="BK426" i="2"/>
  <c r="J373" i="2"/>
  <c r="J338" i="2"/>
  <c r="BK254" i="2"/>
  <c r="J141" i="2"/>
  <c r="BK360" i="2"/>
  <c r="J481" i="2"/>
  <c r="J419" i="2"/>
  <c r="J399" i="2"/>
  <c r="J353" i="2"/>
  <c r="J180" i="2"/>
  <c r="J473" i="2"/>
  <c r="J410" i="2"/>
  <c r="J370" i="2"/>
  <c r="J427" i="2"/>
  <c r="J394" i="2"/>
  <c r="J372" i="2"/>
  <c r="J324" i="2"/>
  <c r="BK276" i="2"/>
  <c r="BK356" i="2"/>
  <c r="BK189" i="2"/>
  <c r="BK353" i="2"/>
  <c r="J313" i="2"/>
  <c r="BK303" i="3"/>
  <c r="BK288" i="3"/>
  <c r="J256" i="3"/>
  <c r="BK240" i="3"/>
  <c r="BK286" i="3"/>
  <c r="BK271" i="3"/>
  <c r="BK244" i="3"/>
  <c r="BK206" i="3"/>
  <c r="BK276" i="3"/>
  <c r="BK200" i="3"/>
  <c r="BK280" i="3"/>
  <c r="BK208" i="3"/>
  <c r="BK279" i="3"/>
  <c r="J234" i="3"/>
  <c r="J167" i="3"/>
  <c r="J235" i="5"/>
  <c r="BK161" i="5"/>
  <c r="J239" i="5"/>
  <c r="BK246" i="5"/>
  <c r="J203" i="5"/>
  <c r="J139" i="5"/>
  <c r="BK438" i="2"/>
  <c r="BK346" i="2"/>
  <c r="J262" i="2"/>
  <c r="J424" i="2"/>
  <c r="BK361" i="2"/>
  <c r="J306" i="2"/>
  <c r="BK205" i="2"/>
  <c r="J426" i="2"/>
  <c r="BK381" i="2"/>
  <c r="BK341" i="2"/>
  <c r="J231" i="2"/>
  <c r="J497" i="2"/>
  <c r="BK420" i="2"/>
  <c r="BK376" i="2"/>
  <c r="J276" i="2"/>
  <c r="J127" i="2"/>
  <c r="BK455" i="2"/>
  <c r="J389" i="2"/>
  <c r="J350" i="2"/>
  <c r="BK425" i="2"/>
  <c r="J395" i="2"/>
  <c r="J357" i="2"/>
  <c r="J222" i="2"/>
  <c r="J393" i="2"/>
  <c r="BK300" i="2"/>
  <c r="BK488" i="2"/>
  <c r="BK453" i="2"/>
  <c r="BK406" i="2"/>
  <c r="BK238" i="3"/>
  <c r="J161" i="3"/>
  <c r="BK266" i="3"/>
  <c r="BK152" i="3"/>
  <c r="BK281" i="3"/>
  <c r="BK265" i="3"/>
  <c r="J222" i="3"/>
  <c r="J163" i="3"/>
  <c r="BK211" i="3"/>
  <c r="J174" i="5"/>
  <c r="BK442" i="2"/>
  <c r="BK290" i="2"/>
  <c r="BK186" i="2"/>
  <c r="J444" i="2"/>
  <c r="BK393" i="2"/>
  <c r="BK331" i="2"/>
  <c r="BK206" i="2"/>
  <c r="J134" i="2"/>
  <c r="J442" i="2"/>
  <c r="BK407" i="2"/>
  <c r="J359" i="2"/>
  <c r="J233" i="2"/>
  <c r="BK431" i="2"/>
  <c r="J414" i="2"/>
  <c r="BK314" i="2"/>
  <c r="J206" i="2"/>
  <c r="J485" i="2"/>
  <c r="J453" i="2"/>
  <c r="J398" i="2"/>
  <c r="BK456" i="2"/>
  <c r="J407" i="2"/>
  <c r="J379" i="2"/>
  <c r="BK343" i="2"/>
  <c r="J245" i="2"/>
  <c r="BK410" i="2"/>
  <c r="J302" i="2"/>
  <c r="BK502" i="2"/>
  <c r="BK437" i="2"/>
  <c r="BK423" i="2"/>
  <c r="BK387" i="2"/>
  <c r="BK282" i="2"/>
  <c r="J152" i="2"/>
  <c r="J404" i="2"/>
  <c r="BK364" i="2"/>
  <c r="J300" i="2"/>
  <c r="BK164" i="2"/>
  <c r="BK349" i="2"/>
  <c r="BK183" i="2"/>
  <c r="BK192" i="2"/>
  <c r="BK252" i="3"/>
  <c r="J208" i="3"/>
  <c r="J177" i="3"/>
  <c r="J282" i="3"/>
  <c r="J303" i="3"/>
  <c r="J302" i="3" s="1"/>
  <c r="J297" i="3"/>
  <c r="J250" i="3"/>
  <c r="BK291" i="3"/>
  <c r="J269" i="3"/>
  <c r="BK234" i="3"/>
  <c r="BK204" i="3"/>
  <c r="J268" i="3"/>
  <c r="BK257" i="3"/>
  <c r="J165" i="3"/>
  <c r="J276" i="3"/>
  <c r="BK167" i="3"/>
  <c r="BK154" i="5"/>
  <c r="J243" i="5"/>
  <c r="BK176" i="5"/>
  <c r="J210" i="5"/>
  <c r="J180" i="5"/>
  <c r="BK235" i="5"/>
  <c r="J458" i="2"/>
  <c r="J447" i="2"/>
  <c r="J351" i="2"/>
  <c r="J217" i="2"/>
  <c r="BK430" i="2"/>
  <c r="BK378" i="2"/>
  <c r="J349" i="2"/>
  <c r="BK295" i="2"/>
  <c r="BK149" i="2"/>
  <c r="J459" i="2"/>
  <c r="BK422" i="2"/>
  <c r="BK365" i="2"/>
  <c r="BK148" i="2"/>
  <c r="J488" i="2"/>
  <c r="J421" i="2"/>
  <c r="J400" i="2"/>
  <c r="J354" i="2"/>
  <c r="BK235" i="2"/>
  <c r="AS97" i="1"/>
  <c r="J384" i="2"/>
  <c r="J437" i="2"/>
  <c r="BK398" i="2"/>
  <c r="BK371" i="2"/>
  <c r="J304" i="2"/>
  <c r="J189" i="2"/>
  <c r="BK435" i="2"/>
  <c r="J344" i="2"/>
  <c r="J257" i="2"/>
  <c r="BK459" i="2"/>
  <c r="J435" i="2"/>
  <c r="BK389" i="2"/>
  <c r="J290" i="2"/>
  <c r="BK217" i="2"/>
  <c r="BK138" i="2"/>
  <c r="J381" i="2"/>
  <c r="J266" i="2"/>
  <c r="J339" i="2"/>
  <c r="J358" i="2"/>
  <c r="BK311" i="2"/>
  <c r="J164" i="2"/>
  <c r="BK269" i="3"/>
  <c r="BK247" i="3"/>
  <c r="BK275" i="3"/>
  <c r="J211" i="3"/>
  <c r="J210" i="3" s="1"/>
  <c r="J240" i="5"/>
  <c r="BK225" i="5"/>
  <c r="J231" i="5"/>
  <c r="BK180" i="5"/>
  <c r="J144" i="5"/>
  <c r="J135" i="5"/>
  <c r="J147" i="5"/>
  <c r="BK135" i="5"/>
  <c r="BK452" i="2"/>
  <c r="BK394" i="2"/>
  <c r="BK280" i="2"/>
  <c r="BK180" i="2"/>
  <c r="BK460" i="2"/>
  <c r="J401" i="2"/>
  <c r="BK278" i="2"/>
  <c r="J506" i="2"/>
  <c r="BK485" i="2"/>
  <c r="J423" i="2"/>
  <c r="BK415" i="2"/>
  <c r="BK359" i="2"/>
  <c r="BK413" i="2"/>
  <c r="BK447" i="2"/>
  <c r="J374" i="2"/>
  <c r="BK313" i="2"/>
  <c r="BK233" i="2"/>
  <c r="J149" i="2"/>
  <c r="J387" i="2"/>
  <c r="BK266" i="2"/>
  <c r="BK338" i="2"/>
  <c r="J238" i="3"/>
  <c r="BK177" i="3"/>
  <c r="J207" i="5"/>
  <c r="BK245" i="5"/>
  <c r="J245" i="5"/>
  <c r="BK214" i="5"/>
  <c r="J223" i="5"/>
  <c r="BK210" i="5"/>
  <c r="BK207" i="5"/>
  <c r="J205" i="5"/>
  <c r="BK203" i="5"/>
  <c r="J201" i="5"/>
  <c r="BK199" i="5"/>
  <c r="J184" i="5"/>
  <c r="BK174" i="5"/>
  <c r="BK164" i="5"/>
  <c r="BK147" i="5"/>
  <c r="BK139" i="5"/>
  <c r="J133" i="5"/>
  <c r="J137" i="5"/>
  <c r="BK133" i="5"/>
  <c r="BK497" i="2"/>
  <c r="BK374" i="2"/>
  <c r="J147" i="2"/>
  <c r="J477" i="2"/>
  <c r="J425" i="2"/>
  <c r="J365" i="2"/>
  <c r="BK304" i="2"/>
  <c r="J186" i="2"/>
  <c r="J502" i="2"/>
  <c r="J366" i="2"/>
  <c r="BK262" i="2"/>
  <c r="BK432" i="2"/>
  <c r="J418" i="2"/>
  <c r="BK469" i="2"/>
  <c r="J436" i="2"/>
  <c r="BK399" i="2"/>
  <c r="J331" i="2"/>
  <c r="J215" i="2"/>
  <c r="BK372" i="2"/>
  <c r="J249" i="2"/>
  <c r="J415" i="2"/>
  <c r="BK240" i="2"/>
  <c r="BK344" i="2"/>
  <c r="J138" i="2"/>
  <c r="BK250" i="3"/>
  <c r="BK168" i="3"/>
  <c r="J286" i="3"/>
  <c r="BK155" i="3"/>
  <c r="J288" i="3"/>
  <c r="J293" i="3"/>
  <c r="BK268" i="3"/>
  <c r="J247" i="3"/>
  <c r="BK179" i="3"/>
  <c r="J253" i="3"/>
  <c r="J266" i="3"/>
  <c r="J149" i="3"/>
  <c r="J279" i="3"/>
  <c r="J188" i="3"/>
  <c r="J232" i="3"/>
  <c r="J161" i="5"/>
  <c r="J452" i="2"/>
  <c r="J361" i="2"/>
  <c r="J155" i="2"/>
  <c r="BK421" i="2"/>
  <c r="BK390" i="2"/>
  <c r="J240" i="2"/>
  <c r="J129" i="2"/>
  <c r="J406" i="2"/>
  <c r="BK373" i="2"/>
  <c r="J422" i="2"/>
  <c r="J388" i="2"/>
  <c r="BK354" i="2"/>
  <c r="BK308" i="2"/>
  <c r="BK249" i="2"/>
  <c r="BK444" i="2"/>
  <c r="BK384" i="2"/>
  <c r="J343" i="2"/>
  <c r="BK419" i="2"/>
  <c r="BK350" i="2"/>
  <c r="J280" i="2"/>
  <c r="J183" i="2"/>
  <c r="BK127" i="2"/>
  <c r="BK380" i="2"/>
  <c r="BK306" i="2"/>
  <c r="BK141" i="2"/>
  <c r="J356" i="2"/>
  <c r="BK222" i="2"/>
  <c r="J148" i="2"/>
  <c r="J257" i="3"/>
  <c r="BK293" i="3"/>
  <c r="J200" i="3"/>
  <c r="BK277" i="3"/>
  <c r="J278" i="3"/>
  <c r="BK256" i="3"/>
  <c r="J240" i="3"/>
  <c r="J168" i="3"/>
  <c r="J206" i="3"/>
  <c r="J281" i="3"/>
  <c r="J252" i="3"/>
  <c r="J152" i="3"/>
  <c r="BK192" i="3"/>
  <c r="BK190" i="3"/>
  <c r="BK223" i="5"/>
  <c r="J214" i="5"/>
  <c r="BK248" i="5"/>
  <c r="J194" i="5"/>
  <c r="J193" i="5" s="1"/>
  <c r="BK240" i="5"/>
  <c r="BK194" i="5"/>
  <c r="BK137" i="5"/>
  <c r="J451" i="2"/>
  <c r="J355" i="2"/>
  <c r="BK506" i="2"/>
  <c r="BK458" i="2"/>
  <c r="J371" i="2"/>
  <c r="J311" i="2"/>
  <c r="BK231" i="2"/>
  <c r="BK473" i="2"/>
  <c r="BK436" i="2"/>
  <c r="BK400" i="2"/>
  <c r="J314" i="2"/>
  <c r="J158" i="2"/>
  <c r="J346" i="2"/>
  <c r="J430" i="2"/>
  <c r="BK370" i="2"/>
  <c r="BK257" i="2"/>
  <c r="J161" i="2"/>
  <c r="J390" i="2"/>
  <c r="BK355" i="2"/>
  <c r="J192" i="2"/>
  <c r="J352" i="2"/>
  <c r="J259" i="2"/>
  <c r="BK357" i="2"/>
  <c r="J267" i="3"/>
  <c r="J192" i="3"/>
  <c r="BK163" i="3"/>
  <c r="BK232" i="3"/>
  <c r="J265" i="3"/>
  <c r="BK222" i="3"/>
  <c r="J204" i="3"/>
  <c r="J196" i="3"/>
  <c r="BK239" i="5"/>
  <c r="J164" i="5"/>
  <c r="J154" i="5"/>
  <c r="J225" i="5"/>
  <c r="BK205" i="5"/>
  <c r="J171" i="5"/>
  <c r="J230" i="5" l="1"/>
  <c r="J222" i="5"/>
  <c r="J209" i="5"/>
  <c r="J132" i="5"/>
  <c r="J229" i="5"/>
  <c r="J198" i="5"/>
  <c r="J128" i="3"/>
  <c r="J283" i="3"/>
  <c r="J246" i="3"/>
  <c r="J217" i="3"/>
  <c r="J290" i="3"/>
  <c r="J261" i="2"/>
  <c r="J126" i="2"/>
  <c r="J275" i="2"/>
  <c r="J310" i="2"/>
  <c r="J496" i="2"/>
  <c r="J472" i="2"/>
  <c r="T118" i="6"/>
  <c r="T117" i="6" s="1"/>
  <c r="R126" i="2"/>
  <c r="P275" i="2"/>
  <c r="BK472" i="2"/>
  <c r="BK210" i="3"/>
  <c r="J99" i="3" s="1"/>
  <c r="R217" i="3"/>
  <c r="BK290" i="3"/>
  <c r="P230" i="5"/>
  <c r="P229" i="5" s="1"/>
  <c r="T310" i="2"/>
  <c r="T128" i="3"/>
  <c r="T217" i="3"/>
  <c r="R283" i="3"/>
  <c r="R299" i="3"/>
  <c r="T198" i="5"/>
  <c r="R222" i="5"/>
  <c r="R310" i="2"/>
  <c r="T496" i="2"/>
  <c r="P128" i="3"/>
  <c r="BK217" i="3"/>
  <c r="T283" i="3"/>
  <c r="R230" i="5"/>
  <c r="R229" i="5" s="1"/>
  <c r="BK126" i="2"/>
  <c r="R275" i="2"/>
  <c r="T472" i="2"/>
  <c r="P246" i="3"/>
  <c r="P283" i="3"/>
  <c r="BK132" i="5"/>
  <c r="J100" i="5" s="1"/>
  <c r="BK209" i="5"/>
  <c r="J103" i="5" s="1"/>
  <c r="BK261" i="2"/>
  <c r="R128" i="3"/>
  <c r="R210" i="3"/>
  <c r="P290" i="3"/>
  <c r="R198" i="5"/>
  <c r="T222" i="5"/>
  <c r="T126" i="2"/>
  <c r="BK275" i="2"/>
  <c r="R472" i="2"/>
  <c r="T246" i="3"/>
  <c r="T132" i="5"/>
  <c r="T230" i="5"/>
  <c r="T229" i="5" s="1"/>
  <c r="R261" i="2"/>
  <c r="R496" i="2"/>
  <c r="R132" i="5"/>
  <c r="P209" i="5"/>
  <c r="J104" i="5"/>
  <c r="BK230" i="5"/>
  <c r="P118" i="6"/>
  <c r="P117" i="6" s="1"/>
  <c r="AU99" i="1" s="1"/>
  <c r="T275" i="2"/>
  <c r="P496" i="2"/>
  <c r="R246" i="3"/>
  <c r="P198" i="5"/>
  <c r="BK222" i="5"/>
  <c r="BK310" i="2"/>
  <c r="BK496" i="2"/>
  <c r="BK128" i="3"/>
  <c r="P210" i="3"/>
  <c r="T210" i="3"/>
  <c r="BK283" i="3"/>
  <c r="J102" i="3" s="1"/>
  <c r="P132" i="5"/>
  <c r="T209" i="5"/>
  <c r="R118" i="6"/>
  <c r="R117" i="6" s="1"/>
  <c r="P310" i="2"/>
  <c r="P472" i="2"/>
  <c r="P217" i="3"/>
  <c r="R290" i="3"/>
  <c r="BK198" i="5"/>
  <c r="R209" i="5"/>
  <c r="P222" i="5"/>
  <c r="BK118" i="6"/>
  <c r="J97" i="6" s="1"/>
  <c r="P126" i="2"/>
  <c r="P261" i="2"/>
  <c r="T261" i="2"/>
  <c r="BK246" i="3"/>
  <c r="T290" i="3"/>
  <c r="BK193" i="5"/>
  <c r="J101" i="5" s="1"/>
  <c r="BK302" i="3"/>
  <c r="J106" i="3" s="1"/>
  <c r="J105" i="3" s="1"/>
  <c r="J111" i="6"/>
  <c r="E107" i="6"/>
  <c r="F91" i="6"/>
  <c r="J91" i="6"/>
  <c r="F114" i="6"/>
  <c r="J92" i="6"/>
  <c r="F93" i="5"/>
  <c r="J124" i="5"/>
  <c r="J127" i="5"/>
  <c r="BE139" i="5"/>
  <c r="BE135" i="5"/>
  <c r="J93" i="5"/>
  <c r="F127" i="5"/>
  <c r="BE154" i="5"/>
  <c r="E85" i="5"/>
  <c r="BE144" i="5"/>
  <c r="BE207" i="5"/>
  <c r="BE210" i="5"/>
  <c r="BE214" i="5"/>
  <c r="BE223" i="5"/>
  <c r="BE225" i="5"/>
  <c r="BE133" i="5"/>
  <c r="BE137" i="5"/>
  <c r="BE161" i="5"/>
  <c r="BE171" i="5"/>
  <c r="BE174" i="5"/>
  <c r="BE184" i="5"/>
  <c r="BE194" i="5"/>
  <c r="BE239" i="5"/>
  <c r="BE243" i="5"/>
  <c r="BE244" i="5"/>
  <c r="BE245" i="5"/>
  <c r="BE248" i="5"/>
  <c r="BE164" i="5"/>
  <c r="BE180" i="5"/>
  <c r="BE199" i="5"/>
  <c r="BE231" i="5"/>
  <c r="BE235" i="5"/>
  <c r="BE240" i="5"/>
  <c r="BE147" i="5"/>
  <c r="BE176" i="5"/>
  <c r="BE201" i="5"/>
  <c r="BE203" i="5"/>
  <c r="BE205" i="5"/>
  <c r="BE246" i="5"/>
  <c r="BE149" i="3"/>
  <c r="BE152" i="3"/>
  <c r="BE163" i="3"/>
  <c r="BE165" i="3"/>
  <c r="BE204" i="3"/>
  <c r="E85" i="3"/>
  <c r="J91" i="3"/>
  <c r="BE222" i="3"/>
  <c r="F92" i="3"/>
  <c r="J123" i="3"/>
  <c r="BE155" i="3"/>
  <c r="BE190" i="3"/>
  <c r="BE196" i="3"/>
  <c r="BE202" i="3"/>
  <c r="BE208" i="3"/>
  <c r="BE167" i="3"/>
  <c r="BE177" i="3"/>
  <c r="BE192" i="3"/>
  <c r="BE268" i="3"/>
  <c r="BE276" i="3"/>
  <c r="BE278" i="3"/>
  <c r="BE288" i="3"/>
  <c r="J120" i="3"/>
  <c r="BE161" i="3"/>
  <c r="BE265" i="3"/>
  <c r="BE271" i="3"/>
  <c r="BE275" i="3"/>
  <c r="F91" i="3"/>
  <c r="BE200" i="3"/>
  <c r="BE211" i="3"/>
  <c r="BE220" i="3"/>
  <c r="BE232" i="3"/>
  <c r="BE238" i="3"/>
  <c r="BE240" i="3"/>
  <c r="BE252" i="3"/>
  <c r="BE277" i="3"/>
  <c r="BE280" i="3"/>
  <c r="BE168" i="3"/>
  <c r="BE249" i="3"/>
  <c r="BE269" i="3"/>
  <c r="BE279" i="3"/>
  <c r="BE291" i="3"/>
  <c r="BE244" i="3"/>
  <c r="BE257" i="3"/>
  <c r="BE179" i="3"/>
  <c r="BE188" i="3"/>
  <c r="BE206" i="3"/>
  <c r="BE247" i="3"/>
  <c r="BE250" i="3"/>
  <c r="BE267" i="3"/>
  <c r="BE284" i="3"/>
  <c r="BE234" i="3"/>
  <c r="BE253" i="3"/>
  <c r="BE256" i="3"/>
  <c r="BE266" i="3"/>
  <c r="BE281" i="3"/>
  <c r="BE282" i="3"/>
  <c r="BE286" i="3"/>
  <c r="BE293" i="3"/>
  <c r="BE297" i="3"/>
  <c r="BE303" i="3"/>
  <c r="J89" i="2"/>
  <c r="E114" i="2"/>
  <c r="J121" i="2"/>
  <c r="BE141" i="2"/>
  <c r="BE149" i="2"/>
  <c r="BE186" i="2"/>
  <c r="BE240" i="2"/>
  <c r="BE308" i="2"/>
  <c r="BE339" i="2"/>
  <c r="BE354" i="2"/>
  <c r="BE355" i="2"/>
  <c r="BE217" i="2"/>
  <c r="BE222" i="2"/>
  <c r="BE233" i="2"/>
  <c r="BE249" i="2"/>
  <c r="BE278" i="2"/>
  <c r="BE290" i="2"/>
  <c r="F91" i="2"/>
  <c r="BE127" i="2"/>
  <c r="BE147" i="2"/>
  <c r="BE155" i="2"/>
  <c r="BE231" i="2"/>
  <c r="BE313" i="2"/>
  <c r="BE324" i="2"/>
  <c r="BE331" i="2"/>
  <c r="BE351" i="2"/>
  <c r="BE370" i="2"/>
  <c r="BE373" i="2"/>
  <c r="BE378" i="2"/>
  <c r="BE398" i="2"/>
  <c r="BE407" i="2"/>
  <c r="BE152" i="2"/>
  <c r="BE192" i="2"/>
  <c r="BE205" i="2"/>
  <c r="BE235" i="2"/>
  <c r="BE245" i="2"/>
  <c r="BE259" i="2"/>
  <c r="BE276" i="2"/>
  <c r="BE314" i="2"/>
  <c r="BE341" i="2"/>
  <c r="BE343" i="2"/>
  <c r="BE401" i="2"/>
  <c r="BE413" i="2"/>
  <c r="BE414" i="2"/>
  <c r="BE422" i="2"/>
  <c r="BE424" i="2"/>
  <c r="BE497" i="2"/>
  <c r="BE206" i="2"/>
  <c r="BE304" i="2"/>
  <c r="BE342" i="2"/>
  <c r="BE353" i="2"/>
  <c r="BE356" i="2"/>
  <c r="BE394" i="2"/>
  <c r="BE399" i="2"/>
  <c r="BE427" i="2"/>
  <c r="BE430" i="2"/>
  <c r="BE431" i="2"/>
  <c r="BE438" i="2"/>
  <c r="BE452" i="2"/>
  <c r="BE458" i="2"/>
  <c r="BE134" i="2"/>
  <c r="BE180" i="2"/>
  <c r="BE215" i="2"/>
  <c r="BE266" i="2"/>
  <c r="BE280" i="2"/>
  <c r="BE306" i="2"/>
  <c r="BE357" i="2"/>
  <c r="BE358" i="2"/>
  <c r="BE360" i="2"/>
  <c r="BE365" i="2"/>
  <c r="BE369" i="2"/>
  <c r="BE384" i="2"/>
  <c r="BE400" i="2"/>
  <c r="BE432" i="2"/>
  <c r="BE435" i="2"/>
  <c r="BE442" i="2"/>
  <c r="BE374" i="2"/>
  <c r="BE390" i="2"/>
  <c r="BE456" i="2"/>
  <c r="BE469" i="2"/>
  <c r="BE481" i="2"/>
  <c r="BE161" i="2"/>
  <c r="BE189" i="2"/>
  <c r="BE220" i="2"/>
  <c r="BE251" i="2"/>
  <c r="BE311" i="2"/>
  <c r="BE344" i="2"/>
  <c r="BE346" i="2"/>
  <c r="BE350" i="2"/>
  <c r="BE352" i="2"/>
  <c r="BE366" i="2"/>
  <c r="BE379" i="2"/>
  <c r="BE388" i="2"/>
  <c r="BE393" i="2"/>
  <c r="BE415" i="2"/>
  <c r="BE418" i="2"/>
  <c r="BE419" i="2"/>
  <c r="BE420" i="2"/>
  <c r="BE421" i="2"/>
  <c r="BE426" i="2"/>
  <c r="BE437" i="2"/>
  <c r="BE444" i="2"/>
  <c r="BE477" i="2"/>
  <c r="BE506" i="2"/>
  <c r="BE349" i="2"/>
  <c r="BE361" i="2"/>
  <c r="BE364" i="2"/>
  <c r="BE387" i="2"/>
  <c r="BE395" i="2"/>
  <c r="BE406" i="2"/>
  <c r="BE410" i="2"/>
  <c r="BE425" i="2"/>
  <c r="BE447" i="2"/>
  <c r="BE451" i="2"/>
  <c r="BE453" i="2"/>
  <c r="J91" i="2"/>
  <c r="BE138" i="2"/>
  <c r="BE148" i="2"/>
  <c r="BE183" i="2"/>
  <c r="BE262" i="2"/>
  <c r="BE282" i="2"/>
  <c r="BE300" i="2"/>
  <c r="BE345" i="2"/>
  <c r="BE376" i="2"/>
  <c r="BE405" i="2"/>
  <c r="BE423" i="2"/>
  <c r="BE436" i="2"/>
  <c r="BE473" i="2"/>
  <c r="BE502" i="2"/>
  <c r="F92" i="2"/>
  <c r="BE129" i="2"/>
  <c r="BE158" i="2"/>
  <c r="BE164" i="2"/>
  <c r="BE254" i="2"/>
  <c r="BE257" i="2"/>
  <c r="BE295" i="2"/>
  <c r="BE302" i="2"/>
  <c r="BE338" i="2"/>
  <c r="BE359" i="2"/>
  <c r="BE371" i="2"/>
  <c r="BE372" i="2"/>
  <c r="BE380" i="2"/>
  <c r="BE381" i="2"/>
  <c r="BE389" i="2"/>
  <c r="BE404" i="2"/>
  <c r="BE455" i="2"/>
  <c r="BE459" i="2"/>
  <c r="BE460" i="2"/>
  <c r="BE485" i="2"/>
  <c r="BE488" i="2"/>
  <c r="J34" i="2"/>
  <c r="AW95" i="1" s="1"/>
  <c r="F35" i="2"/>
  <c r="BB95" i="1" s="1"/>
  <c r="J36" i="5"/>
  <c r="AW98" i="1" s="1"/>
  <c r="F36" i="5"/>
  <c r="BA98" i="1" s="1"/>
  <c r="F37" i="6"/>
  <c r="BD99" i="1" s="1"/>
  <c r="F34" i="2"/>
  <c r="BA95" i="1" s="1"/>
  <c r="J34" i="3"/>
  <c r="AW96" i="1" s="1"/>
  <c r="F35" i="6"/>
  <c r="BB99" i="1" s="1"/>
  <c r="F35" i="3"/>
  <c r="BB96" i="1" s="1"/>
  <c r="F36" i="6"/>
  <c r="BC99" i="1" s="1"/>
  <c r="F37" i="2"/>
  <c r="BD95" i="1" s="1"/>
  <c r="F34" i="3"/>
  <c r="BA96" i="1" s="1"/>
  <c r="F34" i="6"/>
  <c r="BA99" i="1" s="1"/>
  <c r="F36" i="2"/>
  <c r="BC95" i="1" s="1"/>
  <c r="F36" i="3"/>
  <c r="BC96" i="1" s="1"/>
  <c r="F39" i="5"/>
  <c r="BD98" i="1" s="1"/>
  <c r="AS94" i="1"/>
  <c r="F37" i="3"/>
  <c r="BD96" i="1" s="1"/>
  <c r="F38" i="5"/>
  <c r="BC98" i="1" s="1"/>
  <c r="F37" i="5"/>
  <c r="BB98" i="1" s="1"/>
  <c r="J34" i="6"/>
  <c r="AW99" i="1" s="1"/>
  <c r="J108" i="5" l="1"/>
  <c r="J103" i="2"/>
  <c r="J105" i="5"/>
  <c r="J100" i="3"/>
  <c r="J101" i="3"/>
  <c r="J102" i="5"/>
  <c r="BK229" i="5"/>
  <c r="J107" i="5" s="1"/>
  <c r="J98" i="3"/>
  <c r="J98" i="2"/>
  <c r="J103" i="3"/>
  <c r="J101" i="2"/>
  <c r="J100" i="2"/>
  <c r="J102" i="2"/>
  <c r="J99" i="2"/>
  <c r="R127" i="3"/>
  <c r="R126" i="3" s="1"/>
  <c r="H300" i="3" s="1"/>
  <c r="BK301" i="3"/>
  <c r="BK117" i="6"/>
  <c r="J96" i="6" s="1"/>
  <c r="AG99" i="1" s="1"/>
  <c r="BC97" i="1"/>
  <c r="AY97" i="1" s="1"/>
  <c r="J33" i="6"/>
  <c r="AV99" i="1" s="1"/>
  <c r="AT99" i="1" s="1"/>
  <c r="BD97" i="1"/>
  <c r="BB97" i="1"/>
  <c r="AX97" i="1" s="1"/>
  <c r="BA97" i="1"/>
  <c r="AW97" i="1" s="1"/>
  <c r="F33" i="6"/>
  <c r="AZ99" i="1" s="1"/>
  <c r="BK300" i="3" l="1"/>
  <c r="BK299" i="3" s="1"/>
  <c r="J300" i="3"/>
  <c r="T300" i="3"/>
  <c r="T299" i="3" s="1"/>
  <c r="T127" i="3" s="1"/>
  <c r="T126" i="3" s="1"/>
  <c r="P300" i="3"/>
  <c r="P299" i="3" s="1"/>
  <c r="P127" i="3" s="1"/>
  <c r="P126" i="3" s="1"/>
  <c r="AU96" i="1" s="1"/>
  <c r="J30" i="6"/>
  <c r="BB94" i="1"/>
  <c r="W31" i="1" s="1"/>
  <c r="BD94" i="1"/>
  <c r="W33" i="1" s="1"/>
  <c r="BC94" i="1"/>
  <c r="W32" i="1" s="1"/>
  <c r="BA94" i="1"/>
  <c r="AW94" i="1" s="1"/>
  <c r="AK30" i="1" s="1"/>
  <c r="BE300" i="3" l="1"/>
  <c r="F33" i="3" s="1"/>
  <c r="AZ96" i="1" s="1"/>
  <c r="J299" i="3"/>
  <c r="J104" i="3" s="1"/>
  <c r="J97" i="3" s="1"/>
  <c r="BK127" i="3"/>
  <c r="J39" i="6"/>
  <c r="AX94" i="1"/>
  <c r="W30" i="1"/>
  <c r="AY94" i="1"/>
  <c r="J127" i="3" l="1"/>
  <c r="J96" i="3"/>
  <c r="J33" i="3"/>
  <c r="AV96" i="1" s="1"/>
  <c r="AT96" i="1" s="1"/>
  <c r="BK126" i="3"/>
  <c r="J126" i="3" l="1"/>
  <c r="J30" i="3" s="1"/>
  <c r="AG96" i="1"/>
  <c r="R125" i="2"/>
  <c r="R124" i="2" s="1"/>
  <c r="H512" i="2" s="1"/>
  <c r="J39" i="3" l="1"/>
  <c r="J512" i="2"/>
  <c r="T512" i="2"/>
  <c r="T511" i="2" s="1"/>
  <c r="T125" i="2" s="1"/>
  <c r="T124" i="2" s="1"/>
  <c r="BK512" i="2"/>
  <c r="BK511" i="2" s="1"/>
  <c r="P512" i="2"/>
  <c r="P511" i="2" s="1"/>
  <c r="P125" i="2" s="1"/>
  <c r="P124" i="2" s="1"/>
  <c r="AU95" i="1" s="1"/>
  <c r="BE512" i="2" l="1"/>
  <c r="J511" i="2"/>
  <c r="J104" i="2" s="1"/>
  <c r="J97" i="2" s="1"/>
  <c r="BK125" i="2"/>
  <c r="J125" i="2" l="1"/>
  <c r="J96" i="2"/>
  <c r="F33" i="2"/>
  <c r="AZ95" i="1" s="1"/>
  <c r="J33" i="2"/>
  <c r="AV95" i="1" s="1"/>
  <c r="AT95" i="1" s="1"/>
  <c r="BK124" i="2"/>
  <c r="J124" i="2" l="1"/>
  <c r="J30" i="2" s="1"/>
  <c r="AG95" i="1"/>
  <c r="J39" i="2" l="1"/>
  <c r="R131" i="5" l="1"/>
  <c r="R130" i="5" s="1"/>
  <c r="H228" i="5" s="1"/>
  <c r="J228" i="5" l="1"/>
  <c r="P228" i="5"/>
  <c r="P227" i="5" s="1"/>
  <c r="P131" i="5" s="1"/>
  <c r="P130" i="5" s="1"/>
  <c r="AU98" i="1" s="1"/>
  <c r="AU97" i="1" s="1"/>
  <c r="AU94" i="1" s="1"/>
  <c r="T228" i="5"/>
  <c r="T227" i="5" s="1"/>
  <c r="T131" i="5" s="1"/>
  <c r="T130" i="5" s="1"/>
  <c r="BK228" i="5"/>
  <c r="BK227" i="5" s="1"/>
  <c r="BE228" i="5" l="1"/>
  <c r="F35" i="5" s="1"/>
  <c r="AZ98" i="1" s="1"/>
  <c r="AZ97" i="1" s="1"/>
  <c r="J227" i="5"/>
  <c r="J106" i="5" s="1"/>
  <c r="J99" i="5" s="1"/>
  <c r="BK131" i="5"/>
  <c r="J35" i="5"/>
  <c r="AV98" i="1" s="1"/>
  <c r="AT98" i="1" s="1"/>
  <c r="J131" i="5" l="1"/>
  <c r="J98" i="5"/>
  <c r="AV97" i="1"/>
  <c r="AT97" i="1" s="1"/>
  <c r="AZ94" i="1"/>
  <c r="BK130" i="5"/>
  <c r="AG98" i="1" l="1"/>
  <c r="AG97" i="1" s="1"/>
  <c r="AG94" i="1" s="1"/>
  <c r="J130" i="5"/>
  <c r="AV94" i="1"/>
  <c r="W29" i="1"/>
  <c r="J32" i="5"/>
  <c r="J41" i="5" l="1"/>
  <c r="AK29" i="1"/>
  <c r="AT94" i="1"/>
  <c r="AK26" i="1" l="1"/>
  <c r="AK35" i="1" s="1"/>
</calcChain>
</file>

<file path=xl/sharedStrings.xml><?xml version="1.0" encoding="utf-8"?>
<sst xmlns="http://schemas.openxmlformats.org/spreadsheetml/2006/main" count="7978" uniqueCount="1092">
  <si>
    <t>Export Komplet</t>
  </si>
  <si>
    <t/>
  </si>
  <si>
    <t>2.0</t>
  </si>
  <si>
    <t>False</t>
  </si>
  <si>
    <t>{108b43c7-d1c7-4407-9197-fd1126361b17}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</si>
  <si>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</si>
  <si>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</si>
  <si>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</si>
  <si>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</si>
  <si>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</si>
  <si>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</si>
  <si>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</si>
  <si>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</si>
  <si>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</si>
  <si>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31_2024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</si>
  <si>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</si>
  <si>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</si>
  <si>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Horky nad Jizerou - oprava vodovodu při stavbě KNL - II. etapa</t>
  </si>
  <si>
    <t>KSO:</t>
  </si>
  <si>
    <t>CC-CZ:</t>
  </si>
  <si>
    <t>Místo:</t>
  </si>
  <si>
    <t xml:space="preserve"> </t>
  </si>
  <si>
    <t>Datum:</t>
  </si>
  <si>
    <t>4. 11. 2024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</si>
  <si>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</si>
  <si>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</si>
  <si>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</si>
  <si>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</si>
  <si>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</si>
  <si>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</si>
  <si>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</si>
  <si>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</si>
  <si>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</si>
  <si>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</si>
  <si>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</si>
  <si>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</si>
  <si>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</si>
  <si>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</si>
  <si>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</si>
  <si>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</si>
  <si>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</si>
  <si>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</si>
  <si>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</si>
  <si>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</si>
  <si>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</si>
  <si>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</si>
  <si>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</si>
  <si>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</si>
  <si>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</si>
  <si>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</si>
  <si>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</si>
  <si>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</si>
  <si>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</si>
  <si>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</si>
  <si>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</si>
  <si>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</si>
  <si>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</si>
  <si>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</si>
  <si>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</si>
  <si>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</si>
  <si>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</si>
  <si>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</si>
  <si>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</si>
  <si>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</si>
  <si>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</si>
  <si>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</si>
  <si>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</si>
  <si>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</si>
  <si>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</si>
  <si>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</si>
  <si>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</si>
  <si>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</si>
  <si>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</si>
  <si>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</si>
  <si>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</si>
  <si>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</si>
  <si>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</si>
  <si>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</si>
  <si>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Vodovod</t>
  </si>
  <si>
    <t>STA</t>
  </si>
  <si>
    <t>1</t>
  </si>
  <si>
    <t>{47c4b13c-ebce-4298-b2a0-d25ac291ddce}</t>
  </si>
  <si>
    <t>2</t>
  </si>
  <si>
    <t>01.1</t>
  </si>
  <si>
    <t>SO 01.1 Vodovodní přípojky</t>
  </si>
  <si>
    <t>{cb0c4800-87fe-4aaa-9476-ba087769e4e1}</t>
  </si>
  <si>
    <t>02</t>
  </si>
  <si>
    <t>SO 02 Investice vyvolané stavbou - přeložky sítí</t>
  </si>
  <si>
    <t>{e5b838ec-e0b8-4a9c-a506-1570cb357730}</t>
  </si>
  <si>
    <t>Soupis</t>
  </si>
  <si>
    <t>02.2</t>
  </si>
  <si>
    <t>SO 02.2 Přeložky plynovodu</t>
  </si>
  <si>
    <t>{d2cf9104-2adb-4cdf-8266-8ee212bcd08d}</t>
  </si>
  <si>
    <t>901</t>
  </si>
  <si>
    <t>VON</t>
  </si>
  <si>
    <t>{4687064f-cd8b-458d-9c0e-e082f88a44d9}</t>
  </si>
  <si>
    <t>KRYCÍ LIST SOUPISU PRACÍ</t>
  </si>
  <si>
    <t>Objekt:</t>
  </si>
  <si>
    <t>01 - SO 01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</si>
  <si>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</si>
  <si>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</si>
  <si>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</si>
  <si>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</si>
  <si>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</si>
  <si>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</si>
  <si>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</si>
  <si>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</si>
  <si>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</si>
  <si>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</si>
  <si>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</si>
  <si>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</si>
  <si>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</si>
  <si>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</si>
  <si>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</si>
  <si>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</si>
  <si>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</si>
  <si>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</si>
  <si>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</si>
  <si>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</si>
  <si>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</si>
  <si>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</si>
  <si>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</si>
  <si>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</si>
  <si>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</si>
  <si>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</si>
  <si>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</si>
  <si>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</si>
  <si>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</si>
  <si>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</si>
  <si>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</si>
  <si>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</si>
  <si>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4</t>
  </si>
  <si>
    <t>VV</t>
  </si>
  <si>
    <t>Součet</t>
  </si>
  <si>
    <t>3</t>
  </si>
  <si>
    <t>113107212</t>
  </si>
  <si>
    <t>Odstranění podkladu z kameniva těženého tl přes 100 do 200 mm strojně pl přes 200 m2</t>
  </si>
  <si>
    <t>-1120004314</t>
  </si>
  <si>
    <t>113107223</t>
  </si>
  <si>
    <t>Odstranění podkladu z kameniva drceného tl přes 200 do 300 mm strojně pl přes 200 m2</t>
  </si>
  <si>
    <t>-1127364210</t>
  </si>
  <si>
    <t>5</t>
  </si>
  <si>
    <t>-329206816</t>
  </si>
  <si>
    <t>"viz TZ a PD"</t>
  </si>
  <si>
    <t>6</t>
  </si>
  <si>
    <t>-475036632</t>
  </si>
  <si>
    <t>7</t>
  </si>
  <si>
    <t>1207909667</t>
  </si>
  <si>
    <t>8</t>
  </si>
  <si>
    <t>115101201</t>
  </si>
  <si>
    <t>Čerpání vody na dopravní výšku do 10 m průměrný přítok do 500 l/min</t>
  </si>
  <si>
    <t>hod</t>
  </si>
  <si>
    <t>340337922</t>
  </si>
  <si>
    <t>9</t>
  </si>
  <si>
    <t>115101301</t>
  </si>
  <si>
    <t>Pohotovost čerpací soupravy pro dopravní výšku do 10 m přítok do 500 l/min</t>
  </si>
  <si>
    <t>den</t>
  </si>
  <si>
    <t>-23505158</t>
  </si>
  <si>
    <t>10</t>
  </si>
  <si>
    <t>119001401</t>
  </si>
  <si>
    <t>m</t>
  </si>
  <si>
    <t>-1107080362</t>
  </si>
  <si>
    <t>(1,0*21)</t>
  </si>
  <si>
    <t>11</t>
  </si>
  <si>
    <t>119001411</t>
  </si>
  <si>
    <t>-725755651</t>
  </si>
  <si>
    <t>(1,0*9)</t>
  </si>
  <si>
    <t>119001412</t>
  </si>
  <si>
    <t>1551217762</t>
  </si>
  <si>
    <t>(1,0*6)</t>
  </si>
  <si>
    <t>13</t>
  </si>
  <si>
    <t>119001421</t>
  </si>
  <si>
    <t>633259393</t>
  </si>
  <si>
    <t>(1,0*47)</t>
  </si>
  <si>
    <t>14</t>
  </si>
  <si>
    <t>121151103</t>
  </si>
  <si>
    <t>1105094208</t>
  </si>
  <si>
    <t>15</t>
  </si>
  <si>
    <t>132254205</t>
  </si>
  <si>
    <t>Hloubení zapažených rýh š do 2000 mm v hornině třídy těžitelnosti I skupiny 3 objem do 1000 m3</t>
  </si>
  <si>
    <t>m3</t>
  </si>
  <si>
    <t>807281572</t>
  </si>
  <si>
    <t>"řad A" (1,0*1,72*528,78)</t>
  </si>
  <si>
    <t>"řad A1" (1,0*1,65*55,07)</t>
  </si>
  <si>
    <t>"řad A1a" (1,0*1,65*63,4)</t>
  </si>
  <si>
    <t>"řad A2" (1,0*1,75*82,73)</t>
  </si>
  <si>
    <t>"řad A3" (1,0*1,73*245,86)</t>
  </si>
  <si>
    <t>"řad A4" (1,0*1,71)*(159,84-49,1)</t>
  </si>
  <si>
    <t>"řad A5" (1,0*1,69*75,22)</t>
  </si>
  <si>
    <t>"řad B" (1,0*1,7*304,84)</t>
  </si>
  <si>
    <t>"řad B1" (1,0*1,72*436,38)</t>
  </si>
  <si>
    <t>" přepoj u hřiště" (1,0*1,7*18,9)</t>
  </si>
  <si>
    <t>132354205</t>
  </si>
  <si>
    <t>Hloubení zapažených rýh š do 2000 mm v hornině třídy těžitelnosti II skupiny 4 objem do 1000 m3</t>
  </si>
  <si>
    <t>-366698337</t>
  </si>
  <si>
    <t>1331120R4</t>
  </si>
  <si>
    <t>kus</t>
  </si>
  <si>
    <t>1754121095</t>
  </si>
  <si>
    <t>139001101</t>
  </si>
  <si>
    <t>Příplatek za ztížení vykopávky v blízkosti podzemního vedení</t>
  </si>
  <si>
    <t>1787040451</t>
  </si>
  <si>
    <t>(1,1*1,6*47)+(1,2*1,7*21)+(1,3*1,8*9)+(1,4*1,9*6)</t>
  </si>
  <si>
    <t>139951121</t>
  </si>
  <si>
    <t>Bourání kcí v hloubených vykopávkách ze zdiva z betonu prostého strojně</t>
  </si>
  <si>
    <t>1208386720</t>
  </si>
  <si>
    <t>151101101</t>
  </si>
  <si>
    <t>Zřízení příložného pažení a rozepření stěn rýh hl do 2 m</t>
  </si>
  <si>
    <t>-1037666702</t>
  </si>
  <si>
    <t>"řad A" (2*1,72*528,78)</t>
  </si>
  <si>
    <t>"řad A1" (2*1,65*55,07)</t>
  </si>
  <si>
    <t>"řad A1a" (2*1,65*63,4)</t>
  </si>
  <si>
    <t>"řad A2" (2*1,75*82,73)</t>
  </si>
  <si>
    <t>"řad A3" (2*1,73*245,86)</t>
  </si>
  <si>
    <t>"řad A4" (2*1,71)*(159,84-49,1)</t>
  </si>
  <si>
    <t>"řad A5" (2*1,69*75,22)</t>
  </si>
  <si>
    <t>"řad B" (2*1,7*304,84)</t>
  </si>
  <si>
    <t>"řad B1" (2*1,72*436,38)</t>
  </si>
  <si>
    <t>" přepoj u hřiště" (2*1,7*18,9)</t>
  </si>
  <si>
    <t>151101111</t>
  </si>
  <si>
    <t>Odstranění příložného pažení a rozepření stěn rýh hl do 2 m</t>
  </si>
  <si>
    <t>-154771287</t>
  </si>
  <si>
    <t>2119002880</t>
  </si>
  <si>
    <t>"obsyp" 802,879</t>
  </si>
  <si>
    <t>228752220</t>
  </si>
  <si>
    <t>-1428706643</t>
  </si>
  <si>
    <t>167151101</t>
  </si>
  <si>
    <t>Nakládání výkopku z hornin třídy těžitelnosti I skupiny 1 až 3 do 100 m3</t>
  </si>
  <si>
    <t>41463843</t>
  </si>
  <si>
    <t>167151111</t>
  </si>
  <si>
    <t>Nakládání výkopku z hornin třídy těžitelnosti I skupiny 1 až 3 přes 100 m3</t>
  </si>
  <si>
    <t>1176886331</t>
  </si>
  <si>
    <t>171201231</t>
  </si>
  <si>
    <t>Poplatek za uložení zeminy a kamení na recyklační skládce (skládkovné) kód odpadu 17 05 04</t>
  </si>
  <si>
    <t>t</t>
  </si>
  <si>
    <t>-2022718856</t>
  </si>
  <si>
    <t>171251201</t>
  </si>
  <si>
    <t>Uložení sypaniny na skládky nebo meziskládky</t>
  </si>
  <si>
    <t>-1007178443</t>
  </si>
  <si>
    <t>174151101</t>
  </si>
  <si>
    <t>Zásyp jam, šachet rýh nebo kolem objektů sypaninou se zhutněním</t>
  </si>
  <si>
    <t>776333208</t>
  </si>
  <si>
    <t>M</t>
  </si>
  <si>
    <t>58344197</t>
  </si>
  <si>
    <t>štěrkodrť frakce 0/63</t>
  </si>
  <si>
    <t>853768594</t>
  </si>
  <si>
    <t>175151101</t>
  </si>
  <si>
    <t>Obsypání potrubí strojně sypaninou bez prohození, uloženou do 3 m</t>
  </si>
  <si>
    <t>-2123087798</t>
  </si>
  <si>
    <t>"DN 80" (1,0*0,4*917,14)</t>
  </si>
  <si>
    <t>"DN 100" (1,0*0,42*1038,15)</t>
  </si>
  <si>
    <t>58337310</t>
  </si>
  <si>
    <t>štěrkopísek frakce 0/4</t>
  </si>
  <si>
    <t>-364159819</t>
  </si>
  <si>
    <t>181351103</t>
  </si>
  <si>
    <t>Rozprostření ornice tl vrstvy do 200 mm pl přes 100 do 500 m2 v rovině nebo ve svahu do 1:5 strojně</t>
  </si>
  <si>
    <t>-791196909</t>
  </si>
  <si>
    <t>181411121</t>
  </si>
  <si>
    <t>Založení lučního trávníku výsevem pl do 1000 m2 v rovině a ve svahu do 1:5</t>
  </si>
  <si>
    <t>-1533713638</t>
  </si>
  <si>
    <t>00572472</t>
  </si>
  <si>
    <t>osivo směs travní krajinná-rovinná</t>
  </si>
  <si>
    <t>kg</t>
  </si>
  <si>
    <t>102481214</t>
  </si>
  <si>
    <t>997013861A</t>
  </si>
  <si>
    <t>Poplatek za uložení stavebního odpadu na recyklační skládce (skládkovné) z betonové suti</t>
  </si>
  <si>
    <t>813406600</t>
  </si>
  <si>
    <t>Vodorovné konstrukce</t>
  </si>
  <si>
    <t>451573111</t>
  </si>
  <si>
    <t>Lože pod potrubí otevřený výkop ze štěrkopísku</t>
  </si>
  <si>
    <t>-1772814177</t>
  </si>
  <si>
    <t>"DN 100" (1,0*0,1*1038,15)</t>
  </si>
  <si>
    <t>-797097246</t>
  </si>
  <si>
    <t xml:space="preserve">"podkladní bloky pod lomové body a tvarovky" </t>
  </si>
  <si>
    <t>"v AŠ 16" (0,3*0,3*0,5*2)+(0,2*0,2*0,5)</t>
  </si>
  <si>
    <t>Komunikace pozemní</t>
  </si>
  <si>
    <t>564251111</t>
  </si>
  <si>
    <t>Podklad nebo podsyp ze štěrkopísku ŠP plochy přes 100 m2 tl 150 mm</t>
  </si>
  <si>
    <t>1660479544</t>
  </si>
  <si>
    <t>564261111</t>
  </si>
  <si>
    <t>Podklad nebo podsyp ze štěrkopísku ŠP plochy přes 100 m2 tl 200 mm</t>
  </si>
  <si>
    <t>1968380522</t>
  </si>
  <si>
    <t>564871111</t>
  </si>
  <si>
    <t>Podklad ze štěrkodrtě ŠD plochy přes 100 m2 tl 250 mm</t>
  </si>
  <si>
    <t>-193168557</t>
  </si>
  <si>
    <t>564871116</t>
  </si>
  <si>
    <t>Podklad ze štěrkodrtě ŠD plochy přes 100 m2 tl. 300 mm</t>
  </si>
  <si>
    <t>-1676024191</t>
  </si>
  <si>
    <t>573111112</t>
  </si>
  <si>
    <t>Postřik živičný infiltrační s posypem z asfaltu množství 1 kg/m2</t>
  </si>
  <si>
    <t>-1118664903</t>
  </si>
  <si>
    <t>51</t>
  </si>
  <si>
    <t>573231108</t>
  </si>
  <si>
    <t>Postřik živičný spojovací ze silniční emulze v množství 0,50 kg/m2</t>
  </si>
  <si>
    <t>1049868269</t>
  </si>
  <si>
    <t>574391R14</t>
  </si>
  <si>
    <t>Penetrační makadam hrubý PMH tl. 250 mm</t>
  </si>
  <si>
    <t>-364023501</t>
  </si>
  <si>
    <t>577134111</t>
  </si>
  <si>
    <t>Asfaltový beton vrstva obrusná ACO 11+ (ABS) tř. I tl 40 mm š do 3 m z nemodifikovaného asfaltu</t>
  </si>
  <si>
    <t>564856528</t>
  </si>
  <si>
    <t>577144121</t>
  </si>
  <si>
    <t>Asfaltový beton vrstva obrusná ACO 11+ (ABS) tř. I tl 50 mm š přes 3 m z nemodifikovaného asfaltu</t>
  </si>
  <si>
    <t>-1400566305</t>
  </si>
  <si>
    <t>577146111</t>
  </si>
  <si>
    <t>Asfaltový beton vrstva ložní ACL 22 (ABVH) tl 50 mm š do 3 m z nemodifikovaného asfaltu</t>
  </si>
  <si>
    <t>-1278975007</t>
  </si>
  <si>
    <t>577165111</t>
  </si>
  <si>
    <t>Asfaltový beton vrstva obrusná ACO 16 (ABH) tl 70 mm š do 3 m z nemodifikovaného asfaltu</t>
  </si>
  <si>
    <t>26097981</t>
  </si>
  <si>
    <t>Trubní vedení</t>
  </si>
  <si>
    <t>359322584</t>
  </si>
  <si>
    <t>1465553661</t>
  </si>
  <si>
    <t>"viz TZ a PD" 1</t>
  </si>
  <si>
    <t>851241131</t>
  </si>
  <si>
    <t>Montáž potrubí z trub litinových hrdlových s integrovaným těsněním otevřený výkop DN 80</t>
  </si>
  <si>
    <t>581153320</t>
  </si>
  <si>
    <t>"řad A1" 55,07</t>
  </si>
  <si>
    <t>"řad A1a" 63,4</t>
  </si>
  <si>
    <t>"řad A3" 245,86</t>
  </si>
  <si>
    <t>"řad A4" 159,84-49,1</t>
  </si>
  <si>
    <t>"řad A5" 75,22</t>
  </si>
  <si>
    <t>"řad B" 250,75</t>
  </si>
  <si>
    <t>55254080</t>
  </si>
  <si>
    <t>trouba vodovodní litinová hrdlová hrdlová Zn+Al povlak K9 dl 6m DN 80</t>
  </si>
  <si>
    <t>880721544</t>
  </si>
  <si>
    <t>61</t>
  </si>
  <si>
    <t>851261131</t>
  </si>
  <si>
    <t>Montáž potrubí z trub litinových hrdlových s integrovaným těsněním otevřený výkop DN 100</t>
  </si>
  <si>
    <t>409153726</t>
  </si>
  <si>
    <t>"řad A" 528,78</t>
  </si>
  <si>
    <t>"řad B" 54,09</t>
  </si>
  <si>
    <t>"řad B1" 436,38</t>
  </si>
  <si>
    <t>"přepoj u hřiště" 18,9</t>
  </si>
  <si>
    <t>62</t>
  </si>
  <si>
    <t>55254081</t>
  </si>
  <si>
    <t>trouba vodovodní litinová hrdlová hrdlová Zn+Al povlak K9 dl 6m DN 100</t>
  </si>
  <si>
    <t>1747628526</t>
  </si>
  <si>
    <t>-1588695100</t>
  </si>
  <si>
    <t>64</t>
  </si>
  <si>
    <t>857241131</t>
  </si>
  <si>
    <t>Montáž litinových tvarovek jednoosých hrdlových otevřený výkop s integrovaným těsněním DN 80</t>
  </si>
  <si>
    <t>1443150927</t>
  </si>
  <si>
    <t>5526R811</t>
  </si>
  <si>
    <t xml:space="preserve">litinové koleno hrdlové s jedním hrdlem MK DN 80-11° </t>
  </si>
  <si>
    <t>-997990637</t>
  </si>
  <si>
    <t>5526R822</t>
  </si>
  <si>
    <t xml:space="preserve">litinové koleno hrdlové s jedním hrdlem MK DN 80-22° </t>
  </si>
  <si>
    <t>2090456287</t>
  </si>
  <si>
    <t>5526R830</t>
  </si>
  <si>
    <t xml:space="preserve">litinové koleno hrdlové s jedním hrdlem MK DN 80-30° </t>
  </si>
  <si>
    <t>-345940574</t>
  </si>
  <si>
    <t>5526R845</t>
  </si>
  <si>
    <t xml:space="preserve">litinové koleno hrdlové s jedním hrdlem MK DN 80-45° </t>
  </si>
  <si>
    <t>388856810</t>
  </si>
  <si>
    <t>55253646</t>
  </si>
  <si>
    <t>přesuvka hrdlová litinová práškový epoxid tl 250µm se šroubovým spojem U-kus DN 80</t>
  </si>
  <si>
    <t>1472321663</t>
  </si>
  <si>
    <t>857242122</t>
  </si>
  <si>
    <t>Montáž litinových tvarovek jednoosých přírubových otevřený výkop DN 80</t>
  </si>
  <si>
    <t>-1821405745</t>
  </si>
  <si>
    <t>"viz TZ a PD" 12+12+1+4+4+3+1+1+2+3+10+1</t>
  </si>
  <si>
    <t>55253892</t>
  </si>
  <si>
    <t>tvarovka přírubová s hrdlem z tvárné litiny,práškový epoxid tl 250µm EU-kus dl 130mm DN 80</t>
  </si>
  <si>
    <t>1736354616</t>
  </si>
  <si>
    <t>55253489</t>
  </si>
  <si>
    <t>tvarovka přírubová litinová s hladkým koncem,práškový epoxid tl 250µm F-kus DN 80</t>
  </si>
  <si>
    <t>1971637470</t>
  </si>
  <si>
    <t>55253492</t>
  </si>
  <si>
    <t>tvarovka přírubová litinová s hladkým koncem,práškový epoxid tl 250µm F-kus DN 150</t>
  </si>
  <si>
    <t>-133545318</t>
  </si>
  <si>
    <t>DKT.FF80E100P16</t>
  </si>
  <si>
    <t>Duktus FF přírubová tvarovka DN 80 dl. 100mm, PN 10/16</t>
  </si>
  <si>
    <t>-421141128</t>
  </si>
  <si>
    <t>55253233</t>
  </si>
  <si>
    <t>tvarovka přírubová litinová vodovodní FF-kus PN10/16 DN 80 dl 100mm</t>
  </si>
  <si>
    <t>-770731976</t>
  </si>
  <si>
    <t>55253235</t>
  </si>
  <si>
    <t>tvarovka přírubová litinová vodovodní FF-kus PN10/16 DN 80 dl 200mm</t>
  </si>
  <si>
    <t>1938031205</t>
  </si>
  <si>
    <t>55253237</t>
  </si>
  <si>
    <t>tvarovka přírubová litinová vodovodní FF-kus PN10/16 DN 80 dl 300mm</t>
  </si>
  <si>
    <t>-1014663985</t>
  </si>
  <si>
    <t>55253241</t>
  </si>
  <si>
    <t>tvarovka přírubová litinová vodovodní FF-kus PN10/16 DN 80 dl 500mm</t>
  </si>
  <si>
    <t>679029150</t>
  </si>
  <si>
    <t>55254011</t>
  </si>
  <si>
    <t>koleno přírubové z tvárné litiny,práškový epoxid tl 250µm FFK-kus DN 80- 45°</t>
  </si>
  <si>
    <t>1033173656</t>
  </si>
  <si>
    <t>55254026</t>
  </si>
  <si>
    <t>koleno přírubové z tvárné litiny,práškový epoxid tl 250µm Q-kus DN 80-90°</t>
  </si>
  <si>
    <t>1887998171</t>
  </si>
  <si>
    <t>55251820</t>
  </si>
  <si>
    <t>koleno přírubové prodloužené s patkou pro připojení k hydrantu 80/90mm</t>
  </si>
  <si>
    <t>548190567</t>
  </si>
  <si>
    <t>55254047</t>
  </si>
  <si>
    <t>koleno 90° s patkou přírubové litinové vodovodní N-kus PN10/40 DN 80</t>
  </si>
  <si>
    <t>1511750681</t>
  </si>
  <si>
    <t>857244122</t>
  </si>
  <si>
    <t>Montáž litinových tvarovek odbočných přírubových otevřený výkop DN 80</t>
  </si>
  <si>
    <t>-1585844534</t>
  </si>
  <si>
    <t>"viz TZ a PD" 6+1</t>
  </si>
  <si>
    <t>552535R08</t>
  </si>
  <si>
    <t>kříž přírubový litinový,práškový epoxid tl 250µm TT-kus DN 80/80</t>
  </si>
  <si>
    <t>-643925291</t>
  </si>
  <si>
    <t>AVK.50158080</t>
  </si>
  <si>
    <t>AVK tvarovka litinová, T, odbočka přírubová, DN 80/80</t>
  </si>
  <si>
    <t>-666905888</t>
  </si>
  <si>
    <t>857261131</t>
  </si>
  <si>
    <t>Montáž litinových tvarovek jednoosých hrdlových otevřený výkop s integrovaným těsněním DN 100</t>
  </si>
  <si>
    <t>-1422256550</t>
  </si>
  <si>
    <t>"viz TZ a PD" 17+11+7+7+2+1</t>
  </si>
  <si>
    <t>5527R111</t>
  </si>
  <si>
    <t>litinové koleno hrdlové s jedním hrdlem MK DN 100-11°</t>
  </si>
  <si>
    <t>36967797</t>
  </si>
  <si>
    <t>5527R122</t>
  </si>
  <si>
    <t>litinové koleno hrdlové s jedním hrdlem MK DN 100-22°</t>
  </si>
  <si>
    <t>-659548977</t>
  </si>
  <si>
    <t>5527R130</t>
  </si>
  <si>
    <t>litinové koleno hrdlové s jedním hrdlem MK DN 100-30°</t>
  </si>
  <si>
    <t>560273634</t>
  </si>
  <si>
    <t>5527R145</t>
  </si>
  <si>
    <t>litinové koleno hrdlové s jedním hrdlem MK DN 100-45°</t>
  </si>
  <si>
    <t>-1712661643</t>
  </si>
  <si>
    <t>55253647</t>
  </si>
  <si>
    <t>přesuvka hrdlová litinová práškový epoxid tl 250µm se šroubovým spojem U-kus DN 100</t>
  </si>
  <si>
    <t>1997431695</t>
  </si>
  <si>
    <t>TMP.709305616</t>
  </si>
  <si>
    <t>-536471338</t>
  </si>
  <si>
    <t>857262122</t>
  </si>
  <si>
    <t>Montáž litinových tvarovek jednoosých přírubových otevřený výkop DN 100</t>
  </si>
  <si>
    <t>-583637149</t>
  </si>
  <si>
    <t>55253893</t>
  </si>
  <si>
    <t>tvarovka přírubová s hrdlem z tvárné litiny,práškový epoxid tl 250µm EU-kus dl 130mm DN 100</t>
  </si>
  <si>
    <t>-2027759400</t>
  </si>
  <si>
    <t>55253490</t>
  </si>
  <si>
    <t>tvarovka přírubová litinová s hladkým koncem,práškový epoxid tl 250µm F-kus DN 100</t>
  </si>
  <si>
    <t>-153202061</t>
  </si>
  <si>
    <t>DKT.FFR100E80CP16</t>
  </si>
  <si>
    <t>Duktus FFR přírubový přechod-redukce DN 100/80, ČSN PN 10/16</t>
  </si>
  <si>
    <t>1850572609</t>
  </si>
  <si>
    <t>55253263</t>
  </si>
  <si>
    <t>tvarovka přírubová litinová vodovodní FF-kus PN10/16 DN 100 dl 1000mm</t>
  </si>
  <si>
    <t>1036782234</t>
  </si>
  <si>
    <t>857264122</t>
  </si>
  <si>
    <t>Montáž litinových tvarovek odbočných přírubových otevřený výkop DN 100</t>
  </si>
  <si>
    <t>-368688516</t>
  </si>
  <si>
    <t>"viz TZ a PD" 3+1+2</t>
  </si>
  <si>
    <t>55253515</t>
  </si>
  <si>
    <t>tvarovka přírubová litinová s přírubovou odbočkou,práškový epoxid tl 250µm T-kus DN 100/80</t>
  </si>
  <si>
    <t>-2051813134</t>
  </si>
  <si>
    <t>552535R10</t>
  </si>
  <si>
    <t>kříž přírubový litinový,práškový epoxid tl 250µm TT-kus DN 100/100</t>
  </si>
  <si>
    <t>1353554978</t>
  </si>
  <si>
    <t>AVK.5015100100</t>
  </si>
  <si>
    <t>AVK tvarovka litinová, T, odbočka přírubová, DN 100/100</t>
  </si>
  <si>
    <t>1520646550</t>
  </si>
  <si>
    <t>857311131</t>
  </si>
  <si>
    <t>Montáž litinových tvarovek jednoosých hrdlových otevřený výkop s integrovaným těsněním DN 150</t>
  </si>
  <si>
    <t>-1668413637</t>
  </si>
  <si>
    <t>"viz TZ a PD" 1+1</t>
  </si>
  <si>
    <t>55253907</t>
  </si>
  <si>
    <t>koleno hrdlové z tvárné litiny,práškový epoxid tl 250µm MMK-kus DN 150- 11,25°</t>
  </si>
  <si>
    <t>714604506</t>
  </si>
  <si>
    <t>TMP.709305620</t>
  </si>
  <si>
    <t>GF-WAGA M/J 3007 Plus EPDM těs.- spojka   DN 150</t>
  </si>
  <si>
    <t>-1141554657</t>
  </si>
  <si>
    <t>857312122</t>
  </si>
  <si>
    <t>Montáž litinových tvarovek jednoosých přírubových otevřený výkop DN 150</t>
  </si>
  <si>
    <t>1058614749</t>
  </si>
  <si>
    <t>"viz PD a TZ" 1+2+1</t>
  </si>
  <si>
    <t>55253617</t>
  </si>
  <si>
    <t>přechod přírubový litinový PN10/16 FFR-kus dl 200mm DN 150/100</t>
  </si>
  <si>
    <t>-1667303948</t>
  </si>
  <si>
    <t>55253293</t>
  </si>
  <si>
    <t>tvarovka přírubová litinová vodovodní FF-kus PN10/16 DN 150 dl 1000mm</t>
  </si>
  <si>
    <t>680841526</t>
  </si>
  <si>
    <t>TMP.709355620</t>
  </si>
  <si>
    <t>GF-WAGA M/J 3057 Plus EPDM těs.- spojka s přírubou   DN 150; Rozsah d 154 - 192 / DN 150; jištění v tahu do  PN 16</t>
  </si>
  <si>
    <t>974969391</t>
  </si>
  <si>
    <t>857314122</t>
  </si>
  <si>
    <t>Montáž litinových tvarovek odbočných přírubových otevřený výkop DN 150</t>
  </si>
  <si>
    <t>-1926860817</t>
  </si>
  <si>
    <t>55253527</t>
  </si>
  <si>
    <t>tvarovka přírubová litinová s přírubovou odbočkou,práškový epoxid tl 250µm T-kus DN 150/80</t>
  </si>
  <si>
    <t>-1981066035</t>
  </si>
  <si>
    <t>AVK.5015150150</t>
  </si>
  <si>
    <t>AVK tvarovka litinová, T, odbočka přírubová, DN 150/150</t>
  </si>
  <si>
    <t>1185158101</t>
  </si>
  <si>
    <t>871211R100</t>
  </si>
  <si>
    <t>-217961119</t>
  </si>
  <si>
    <t>871211R80</t>
  </si>
  <si>
    <t>-1164440919</t>
  </si>
  <si>
    <t>891241112</t>
  </si>
  <si>
    <t>Montáž vodovodních šoupátek otevřený výkop DN 80</t>
  </si>
  <si>
    <t>1627507379</t>
  </si>
  <si>
    <t>"viz TZ a PD" 21</t>
  </si>
  <si>
    <t>1588856608</t>
  </si>
  <si>
    <t>967824462</t>
  </si>
  <si>
    <t>891241222</t>
  </si>
  <si>
    <t>Montáž vodovodních šoupátek s ručním kolečkem v šachtách DN 80</t>
  </si>
  <si>
    <t>-1271204966</t>
  </si>
  <si>
    <t>42221303</t>
  </si>
  <si>
    <t>-435500287</t>
  </si>
  <si>
    <t>42210101</t>
  </si>
  <si>
    <t>-1733056060</t>
  </si>
  <si>
    <t>891241811</t>
  </si>
  <si>
    <t>Demontáž vodovodních šoupátek otevřený výkop DN 80</t>
  </si>
  <si>
    <t>944203428</t>
  </si>
  <si>
    <t>891243321</t>
  </si>
  <si>
    <t>Montáž ventilů vodovodních odvzdušňovacích přírubových DN 80</t>
  </si>
  <si>
    <t>-1576181106</t>
  </si>
  <si>
    <t>42213003</t>
  </si>
  <si>
    <t>1658000832</t>
  </si>
  <si>
    <t>891247112</t>
  </si>
  <si>
    <t>Montáž hydrantů podzemních DN 80</t>
  </si>
  <si>
    <t>200532196</t>
  </si>
  <si>
    <t>42273589</t>
  </si>
  <si>
    <t>-586717738</t>
  </si>
  <si>
    <t>42273590</t>
  </si>
  <si>
    <t>1953316680</t>
  </si>
  <si>
    <t>42273591</t>
  </si>
  <si>
    <t>-534143312</t>
  </si>
  <si>
    <t>891261112</t>
  </si>
  <si>
    <t>Montáž vodovodních šoupátek otevřený výkop DN 100</t>
  </si>
  <si>
    <t>-858503771</t>
  </si>
  <si>
    <t>"viz TZ a PD" 18</t>
  </si>
  <si>
    <t>128</t>
  </si>
  <si>
    <t>42221117</t>
  </si>
  <si>
    <t>-563505518</t>
  </si>
  <si>
    <t>42291080</t>
  </si>
  <si>
    <t>1692205183</t>
  </si>
  <si>
    <t>891261222</t>
  </si>
  <si>
    <t>Montáž vodovodních šoupátek s ručním kolečkem v šachtách DN 100</t>
  </si>
  <si>
    <t>-1888654728</t>
  </si>
  <si>
    <t>42221304</t>
  </si>
  <si>
    <t>2126722604</t>
  </si>
  <si>
    <t>42210106</t>
  </si>
  <si>
    <t>-681237939</t>
  </si>
  <si>
    <t>891261811</t>
  </si>
  <si>
    <t>Demontáž vodovodních šoupátek otevřený výkop DN 100</t>
  </si>
  <si>
    <t>-661814295</t>
  </si>
  <si>
    <t>89223R101</t>
  </si>
  <si>
    <t>268331275</t>
  </si>
  <si>
    <t>892241111</t>
  </si>
  <si>
    <t>Tlaková zkouška vodou potrubí DN do 80</t>
  </si>
  <si>
    <t>-956898282</t>
  </si>
  <si>
    <t>892271111</t>
  </si>
  <si>
    <t>Tlaková zkouška vodou potrubí DN 100 nebo 125</t>
  </si>
  <si>
    <t>1713215676</t>
  </si>
  <si>
    <t xml:space="preserve">"viz TZ a PD" </t>
  </si>
  <si>
    <t>892273122</t>
  </si>
  <si>
    <t>Proplach a dezinfekce vodovodního potrubí DN od 80 do 125</t>
  </si>
  <si>
    <t>439046567</t>
  </si>
  <si>
    <t>892372111</t>
  </si>
  <si>
    <t>573855998</t>
  </si>
  <si>
    <t>89255R001</t>
  </si>
  <si>
    <t>Rozbor pitné vody dle vyhl.č.376/200 Sb.</t>
  </si>
  <si>
    <t>kpl</t>
  </si>
  <si>
    <t>-1775758514</t>
  </si>
  <si>
    <t>141</t>
  </si>
  <si>
    <t>899401112</t>
  </si>
  <si>
    <t>Osazení poklopů uličních litinových šoupátkových</t>
  </si>
  <si>
    <t>-1207002003</t>
  </si>
  <si>
    <t>"viz TZ a PD" 18+21</t>
  </si>
  <si>
    <t>142</t>
  </si>
  <si>
    <t>42291352</t>
  </si>
  <si>
    <t>-598248801</t>
  </si>
  <si>
    <t>899401113</t>
  </si>
  <si>
    <t>Osazení poklopů uličních litinových hydrantových</t>
  </si>
  <si>
    <t>1469079431</t>
  </si>
  <si>
    <t>"viz TZ a PD" 8+2+1</t>
  </si>
  <si>
    <t>42291452</t>
  </si>
  <si>
    <t>-1376138834</t>
  </si>
  <si>
    <t>56230638</t>
  </si>
  <si>
    <t>2088766348</t>
  </si>
  <si>
    <t>-38164650</t>
  </si>
  <si>
    <t>"AŠ A16" 6</t>
  </si>
  <si>
    <t>899722114</t>
  </si>
  <si>
    <t>Krytí potrubí z plastů výstražnou fólií z PVC přes 34 do 40 cm</t>
  </si>
  <si>
    <t>-1844078991</t>
  </si>
  <si>
    <t>899801411</t>
  </si>
  <si>
    <t>-1488069790</t>
  </si>
  <si>
    <t>Ostatní konstrukce a práce, bourání</t>
  </si>
  <si>
    <t>919112212</t>
  </si>
  <si>
    <t>Řezání spár pro vytvoření komůrky š 10 mm hl 20 mm pro těsnící zálivku v živičném krytu</t>
  </si>
  <si>
    <t>1560105299</t>
  </si>
  <si>
    <t>919122111</t>
  </si>
  <si>
    <t>Těsnění spár zálivkou za tepla pro komůrky š 10 mm hl 20 mm s těsnicím profilem</t>
  </si>
  <si>
    <t>-1565782492</t>
  </si>
  <si>
    <t>919735111</t>
  </si>
  <si>
    <t>Řezání stávajícího živičného krytu hl do 50 mm</t>
  </si>
  <si>
    <t>-648421755</t>
  </si>
  <si>
    <t>977151128</t>
  </si>
  <si>
    <t>Jádrové vrty diamantovými korunkami do stavebních materiálů D přes 250 do 300 mm</t>
  </si>
  <si>
    <t>-1654084322</t>
  </si>
  <si>
    <t>97725R300</t>
  </si>
  <si>
    <t>Vodonepropustné těsnění prostupu DN 300</t>
  </si>
  <si>
    <t>-752297524</t>
  </si>
  <si>
    <t>"AŠ A16" 3</t>
  </si>
  <si>
    <t>997</t>
  </si>
  <si>
    <t>Přesun sutě</t>
  </si>
  <si>
    <t>-1600921824</t>
  </si>
  <si>
    <t>"stupadla" 0,048</t>
  </si>
  <si>
    <t>-487136029</t>
  </si>
  <si>
    <t>997221875</t>
  </si>
  <si>
    <t>Poplatek za uložení na recyklační skládce (skládkovné) stavebního odpadu asfaltového bez obsahu dehtu zatříděného do Katalogu odpadů pod kódem 17 03 02</t>
  </si>
  <si>
    <t>434396482</t>
  </si>
  <si>
    <t>998</t>
  </si>
  <si>
    <t>Přesun hmot</t>
  </si>
  <si>
    <t>998273102</t>
  </si>
  <si>
    <t>Přesun hmot pro trubní vedení z trub litinových otevřený výkop</t>
  </si>
  <si>
    <t>-2075306590</t>
  </si>
  <si>
    <t>01.1 - SO 01.1 Vodovodní přípojky</t>
  </si>
  <si>
    <t>M - Práce a dodávky M</t>
  </si>
  <si>
    <t xml:space="preserve">    23-M - Montáže potrubí</t>
  </si>
  <si>
    <t>"štěrk" (0,8*20)</t>
  </si>
  <si>
    <t>113107163</t>
  </si>
  <si>
    <t>Odstranění podkladu z kameniva drceného tl přes 200 do 300 mm strojně pl přes 50 do 200 m2</t>
  </si>
  <si>
    <t>1009935956</t>
  </si>
  <si>
    <t>"MK asfalt" (0,8*93)</t>
  </si>
  <si>
    <t>113155512</t>
  </si>
  <si>
    <t>Frézování betonového krytu tl 40 mm pl do 500 m2</t>
  </si>
  <si>
    <t>1843553937</t>
  </si>
  <si>
    <t>(0,8*65)</t>
  </si>
  <si>
    <t>889347741</t>
  </si>
  <si>
    <t>"zatravnění" (0,8*40)</t>
  </si>
  <si>
    <t>132254201</t>
  </si>
  <si>
    <t>Hloubení zapažených rýh š do 2000 mm v hornině třídy těžitelnosti I skupiny 3 objem do 20 m3</t>
  </si>
  <si>
    <t>-1768267776</t>
  </si>
  <si>
    <t>132354201</t>
  </si>
  <si>
    <t>Hloubení zapažených rýh š do 2000 mm v hornině třídy těžitelnosti II skupiny 4 objem do 20 m3</t>
  </si>
  <si>
    <t>1075221195</t>
  </si>
  <si>
    <t>1175857168</t>
  </si>
  <si>
    <t>(1,1*1,6*52)+(1,3*1,8*36)</t>
  </si>
  <si>
    <t>-1011862544</t>
  </si>
  <si>
    <t>417069319</t>
  </si>
  <si>
    <t>-1389557219</t>
  </si>
  <si>
    <t>1359396111</t>
  </si>
  <si>
    <t>-311618593</t>
  </si>
  <si>
    <t>1530867260</t>
  </si>
  <si>
    <t>791975926</t>
  </si>
  <si>
    <t>243976146</t>
  </si>
  <si>
    <t>1924970433</t>
  </si>
  <si>
    <t>-1065048551</t>
  </si>
  <si>
    <t>-1201293759</t>
  </si>
  <si>
    <t>181351003</t>
  </si>
  <si>
    <t>Rozprostření ornice tl vrstvy do 200 mm pl do 100 m2 v rovině nebo ve svahu do 1:5 strojně</t>
  </si>
  <si>
    <t>963947422</t>
  </si>
  <si>
    <t>-372034</t>
  </si>
  <si>
    <t>920813157</t>
  </si>
  <si>
    <t>32*0,015 'Přepočtené koeficientem množství</t>
  </si>
  <si>
    <t>240568608</t>
  </si>
  <si>
    <t>564261011</t>
  </si>
  <si>
    <t>Podklad nebo podsyp ze štěrkopísku ŠP plochy do 100 m2 tl 200 mm</t>
  </si>
  <si>
    <t>-1786758595</t>
  </si>
  <si>
    <t>"vozovka štěrk" (0,8*20)</t>
  </si>
  <si>
    <t>564871011</t>
  </si>
  <si>
    <t>Podklad ze štěrkodrtě ŠD plochy do 100 m2 tl 250 mm</t>
  </si>
  <si>
    <t>-1989313226</t>
  </si>
  <si>
    <t>-170934501</t>
  </si>
  <si>
    <t>-607535664</t>
  </si>
  <si>
    <t>-257491609</t>
  </si>
  <si>
    <t>89053001</t>
  </si>
  <si>
    <t>387409993</t>
  </si>
  <si>
    <t>871161211</t>
  </si>
  <si>
    <t>Montáž potrubí z PE100 RC SDR 11 otevřený výkop svařovaných elektrotvarovkou d 32 x 3,0 mm</t>
  </si>
  <si>
    <t>970031523</t>
  </si>
  <si>
    <t>28613170</t>
  </si>
  <si>
    <t>potrubí vodovodní dvouvrstvé PE100 RC SDR11 32x3,0mm</t>
  </si>
  <si>
    <t>-2060152327</t>
  </si>
  <si>
    <t>871211211</t>
  </si>
  <si>
    <t>Montáž potrubí z PE100 RC SDR 11 otevřený výkop svařovaných elektrotvarovkou d 63 x 5,8 mm</t>
  </si>
  <si>
    <t>-1554164733</t>
  </si>
  <si>
    <t>"přípojka k č.p. 11" 20</t>
  </si>
  <si>
    <t>28613173</t>
  </si>
  <si>
    <t>potrubí vodovodní dvouvrstvé PE100 RC SDR11 63x5,8mm</t>
  </si>
  <si>
    <t>1104209402</t>
  </si>
  <si>
    <t>-1046430658</t>
  </si>
  <si>
    <t>1736213169</t>
  </si>
  <si>
    <t>-399349498</t>
  </si>
  <si>
    <t>877211101</t>
  </si>
  <si>
    <t>Montáž elektrospojek na vodovodním potrubí z PE trub d 63</t>
  </si>
  <si>
    <t>1981258282</t>
  </si>
  <si>
    <t>28653133</t>
  </si>
  <si>
    <t>nákružek lemový PE 100 SDR11 63mm</t>
  </si>
  <si>
    <t>568269638</t>
  </si>
  <si>
    <t>286543R1</t>
  </si>
  <si>
    <t>příruba točivá k lemovému nákružku z polypropylénu 63</t>
  </si>
  <si>
    <t>-662940857</t>
  </si>
  <si>
    <t>891161321</t>
  </si>
  <si>
    <t>Montáž vodovodních šoupátek domovní přípojky se závitovými konci PN16 otevřený výkop G 1"</t>
  </si>
  <si>
    <t>-1719671514</t>
  </si>
  <si>
    <t>42221551</t>
  </si>
  <si>
    <t>-1216541515</t>
  </si>
  <si>
    <t>891181811</t>
  </si>
  <si>
    <t>Demontáž vodovodních šoupátek otevřený výkop DN 40</t>
  </si>
  <si>
    <t>-2126144988</t>
  </si>
  <si>
    <t>891249111</t>
  </si>
  <si>
    <t>Montáž navrtávacích pasů na potrubí z jakýchkoli trub DN 80</t>
  </si>
  <si>
    <t>-1553601321</t>
  </si>
  <si>
    <t>42273444</t>
  </si>
  <si>
    <t>1134330722</t>
  </si>
  <si>
    <t>891269111</t>
  </si>
  <si>
    <t>Montáž navrtávacích pasů na potrubí z jakýchkoli trub DN 100</t>
  </si>
  <si>
    <t>-458837754</t>
  </si>
  <si>
    <t>42273448</t>
  </si>
  <si>
    <t>-1095985410</t>
  </si>
  <si>
    <t>-452504863</t>
  </si>
  <si>
    <t>2044784291</t>
  </si>
  <si>
    <t>191010968</t>
  </si>
  <si>
    <t>899913131</t>
  </si>
  <si>
    <t>Uzavírací manžeta chráničky potrubí DN 80 x 100</t>
  </si>
  <si>
    <t>-132741711</t>
  </si>
  <si>
    <t>2040108644</t>
  </si>
  <si>
    <t>"MK asfalt" (2*93)</t>
  </si>
  <si>
    <t>-536817542</t>
  </si>
  <si>
    <t>1105829519</t>
  </si>
  <si>
    <t>-522083736</t>
  </si>
  <si>
    <t>1259614372</t>
  </si>
  <si>
    <t>-1085700791</t>
  </si>
  <si>
    <t>998276101</t>
  </si>
  <si>
    <t>Přesun hmot pro trubní vedení z trub z plastických hmot otevřený výkop</t>
  </si>
  <si>
    <t>182023154</t>
  </si>
  <si>
    <t>Práce a dodávky M</t>
  </si>
  <si>
    <t>23-M</t>
  </si>
  <si>
    <t>Montáže potrubí</t>
  </si>
  <si>
    <t>230202071</t>
  </si>
  <si>
    <t>Nasunutí potrubní sekce plastové průměru do 63 mm do chráničky</t>
  </si>
  <si>
    <t>-674493978</t>
  </si>
  <si>
    <t>"přípojka k č.p. 11 - protažení stávajícím potrubím LT DN 100" 20</t>
  </si>
  <si>
    <t>02 - SO 02 Investice vyvolané stavbou - přeložky sítí</t>
  </si>
  <si>
    <t>Soupis:</t>
  </si>
  <si>
    <t>02.2 - SO 02.2 Přeložky plynovodu</t>
  </si>
  <si>
    <t>113107323</t>
  </si>
  <si>
    <t>Odstranění podkladu z kameniva drceného tl přes 200 do 300 mm strojně pl do 50 m2</t>
  </si>
  <si>
    <t>1518488076</t>
  </si>
  <si>
    <t>113107342</t>
  </si>
  <si>
    <t>1968613549</t>
  </si>
  <si>
    <t>-2144407646</t>
  </si>
  <si>
    <t>-1836334943</t>
  </si>
  <si>
    <t>(0,6*1)</t>
  </si>
  <si>
    <t>132212132</t>
  </si>
  <si>
    <t>Hloubení nezapažených rýh šířky do 800 mm v nesoudržných horninách třídy těžitelnosti I skupiny 3 ručně</t>
  </si>
  <si>
    <t>1199959633</t>
  </si>
  <si>
    <t>"ručně 20%" 18,459*0,2</t>
  </si>
  <si>
    <t>132251101</t>
  </si>
  <si>
    <t>Hloubení rýh nezapažených š do 800 mm v hornině třídy těžitelnosti I skupiny 3 objem do 20 m3 strojně</t>
  </si>
  <si>
    <t>-67575337</t>
  </si>
  <si>
    <t>"plynovod č.2" 0,6*1,0*44,17</t>
  </si>
  <si>
    <t>"přípojky" 0,6*1,0*3,9</t>
  </si>
  <si>
    <t>"odpočet povrchů" -(0,6*48,07*0,36)</t>
  </si>
  <si>
    <t>"strojně 80%" 18,459*0,8</t>
  </si>
  <si>
    <t>-201095715</t>
  </si>
  <si>
    <t>"zásyp zeminou na mezideponii a zpět" 8,099*2</t>
  </si>
  <si>
    <t>"obsyp" 7,476</t>
  </si>
  <si>
    <t>"podkladní štěrkopísek" 2,884</t>
  </si>
  <si>
    <t>834693574</t>
  </si>
  <si>
    <t>"přebytečný výkopek na skládku" 18,459-8,099</t>
  </si>
  <si>
    <t>-1255570223</t>
  </si>
  <si>
    <t>"zásyp zeminou " 8,099</t>
  </si>
  <si>
    <t>-1843335252</t>
  </si>
  <si>
    <t>10,36*1,8</t>
  </si>
  <si>
    <t>2041844909</t>
  </si>
  <si>
    <t>"hloubení rýh" 18,459</t>
  </si>
  <si>
    <t>"odpočet vytlačená kubatura" -((0,6*0,35*3,9)+(0,6*0,36*44,17))</t>
  </si>
  <si>
    <t>647179837</t>
  </si>
  <si>
    <t>"DN 32" (0,6*0,25*3,9)</t>
  </si>
  <si>
    <t>"DN 50" (0,6*0,26*44,17)</t>
  </si>
  <si>
    <t>-461410291</t>
  </si>
  <si>
    <t>7,476*1,67*1,23</t>
  </si>
  <si>
    <t>320776597</t>
  </si>
  <si>
    <t>"DN 32" (0,6*0,1*3,9)</t>
  </si>
  <si>
    <t>"DN 50" (0,6*0,1*44,17)</t>
  </si>
  <si>
    <t>849504919</t>
  </si>
  <si>
    <t>142280060</t>
  </si>
  <si>
    <t>-317509143</t>
  </si>
  <si>
    <t>-380140080</t>
  </si>
  <si>
    <t>1417706220</t>
  </si>
  <si>
    <t>899721111</t>
  </si>
  <si>
    <t>153368637</t>
  </si>
  <si>
    <t>"viz PD a TZ" 44,17+3,9</t>
  </si>
  <si>
    <t>-652073038</t>
  </si>
  <si>
    <t>28716344</t>
  </si>
  <si>
    <t>77976580</t>
  </si>
  <si>
    <t>-2056140379</t>
  </si>
  <si>
    <t>230086115</t>
  </si>
  <si>
    <t>Demontáž plastového potrubí dn do 110 mm</t>
  </si>
  <si>
    <t>-2033765677</t>
  </si>
  <si>
    <t>"DN 40" 48,0</t>
  </si>
  <si>
    <t>230200004</t>
  </si>
  <si>
    <t>Montáž plynovodních přípojek svářením DN 32 (1 1/4")</t>
  </si>
  <si>
    <t>-1581334495</t>
  </si>
  <si>
    <t>1,7+1,7+0,5</t>
  </si>
  <si>
    <t>28613921</t>
  </si>
  <si>
    <t>potrubí plynovodní z PE 100+ opláštěné vrstvou z pěnového PE, SDR 11, 32x3,0 mm</t>
  </si>
  <si>
    <t>1062623894</t>
  </si>
  <si>
    <t>230205035</t>
  </si>
  <si>
    <t>Montáž potrubí plastového svařované na tupo nebo elektrospojkou dn 50 mm en 4,6 mm</t>
  </si>
  <si>
    <t>-543631764</t>
  </si>
  <si>
    <t>"viz TZ a PD" 44,17</t>
  </si>
  <si>
    <t>28613526</t>
  </si>
  <si>
    <t>potrubí třívrstvé PE100 RC SDR11 50x4,60 dl 12m</t>
  </si>
  <si>
    <t>-1292674602</t>
  </si>
  <si>
    <t>230205235</t>
  </si>
  <si>
    <t>Montáž trubního dílu PE elektrotvarovky nebo svařovaného na tupo dn 50 mm en 4,5 mm</t>
  </si>
  <si>
    <t>837061523</t>
  </si>
  <si>
    <t>28614957</t>
  </si>
  <si>
    <t>elektrotvarovka T-kus rovnoramenný PE 100 PN16 D 50mm</t>
  </si>
  <si>
    <t>350636688</t>
  </si>
  <si>
    <t>28614972</t>
  </si>
  <si>
    <t>elektroredukce PE 100 PN16 D 50-32mm</t>
  </si>
  <si>
    <t>1774743318</t>
  </si>
  <si>
    <t>230230016</t>
  </si>
  <si>
    <t>-430644660</t>
  </si>
  <si>
    <t>901 - VON</t>
  </si>
  <si>
    <t>VRN - Vedlejší rozpočtové náklady</t>
  </si>
  <si>
    <t>VRN</t>
  </si>
  <si>
    <t>Vedlejší rozpočtové náklady</t>
  </si>
  <si>
    <t>00001</t>
  </si>
  <si>
    <t>Zařízení staveniště</t>
  </si>
  <si>
    <t>20001</t>
  </si>
  <si>
    <t>Dočasné zajištění potrubí ocelového nebo litinového DN do 200 mm vyvěšením či podepřením</t>
  </si>
  <si>
    <t>Dočasné zajištění potrubí betonového, ŽB nebo kameninového DN do 200 mm vyvěšením či podepřením</t>
  </si>
  <si>
    <t>Dočasné zajištění potrubí betonového, ŽB nebo kameninového DN přes 200 do 500 mm vyvěšením či podepřením</t>
  </si>
  <si>
    <t xml:space="preserve">Dočasné zajištění kabelů a kabelových tratí ze 3 volně ložených kabelů vyvěšením </t>
  </si>
  <si>
    <t>"odpočet povrchů" -((1,0*0,6*605,4)+(1,0*0,36*1003,8)+(1,0*0,45*121,6)+(1,0*0,20*212))</t>
  </si>
  <si>
    <t>"hor 3 60%" 2470,785*0,6</t>
  </si>
  <si>
    <t>20 ks *1,5*0,8*1,8</t>
  </si>
  <si>
    <t xml:space="preserve">Ručně kopané sondy </t>
  </si>
  <si>
    <t xml:space="preserve">"odpočet kopaných sond" </t>
  </si>
  <si>
    <t>"hor 4 40%"</t>
  </si>
  <si>
    <t>"vozovka štěrk" (55,1+51+10+2,1+3,4)*1</t>
  </si>
  <si>
    <t>"asfalt. komunikace SÚS" (513+2,4+2,5+2,5+3+82)*1,0</t>
  </si>
  <si>
    <t>"asfalt. komunikace SÚS" (513+2,4+2,5+2,5+3+82)*1</t>
  </si>
  <si>
    <t>"MK asfalt" (244,4+10+94,9+38,5+616)*1</t>
  </si>
  <si>
    <t>"MK asfalt" (244,4+10+94,9+38,5+616)*1,6</t>
  </si>
  <si>
    <t>"asfalt. komunikace SÚS" (513+2,4+2,5+2,5+3+82)*2,4</t>
  </si>
  <si>
    <t>"zatravnění" (54+32+14+100+12)*1</t>
  </si>
  <si>
    <t xml:space="preserve">"zrušení části šachet A7, A8, A15" </t>
  </si>
  <si>
    <t>Vodorovné přemístění výkopku/sypaniny z horniny třídy těžitelnosti I a II na trvalou skládku ( vzdápenost si určí dodavatel )</t>
  </si>
  <si>
    <t>"ornice " (212*0,2)</t>
  </si>
  <si>
    <t>"hloubení rýh" 2427,585+43,2</t>
  </si>
  <si>
    <t>"zásyp rušených šachet" 1,7*1,4*1,06+2,16*1,5*1,1+2,55*1,75*1,0</t>
  </si>
  <si>
    <t>"výkopek , který nelze použít do zásypů - odvoz na skládku, předpoklad 50 % z celkových výkopů"  2427,585*0,5</t>
  </si>
  <si>
    <t>"náhrada za nevhodný výkopek, odvezený na skládku"1213,793*1,9</t>
  </si>
  <si>
    <t>"zásyp rušených šachet"10,549*1,9</t>
  </si>
  <si>
    <t>212*0,015 'Přepočtené koeficientem množství</t>
  </si>
  <si>
    <t>Vodorovné přemístění betonové suti na skládku ( vzdápenost si určí dodavatel )</t>
  </si>
  <si>
    <t>Vodorovné přemístění  výkopku/sypaniny z meziskládky ( vzdápenost si určí dodavatel )</t>
  </si>
  <si>
    <t>"ornice na mezideponii a zpět" (212*0,2)*2</t>
  </si>
  <si>
    <t>Podkladní bloky z betonu prostého bez zvýšených nároků na prostředí tř. C 16/20 otevřený výkop, včetně bednění</t>
  </si>
  <si>
    <t>"asfalt. komunikace SÚS" (513+2,4+2,5+2,5+3+82)*(2,4+1)</t>
  </si>
  <si>
    <t>"asfalt. komunikace SÚS" (513+2,4+2,5+2,5+3+82)*1,0*2</t>
  </si>
  <si>
    <t>240+160+75</t>
  </si>
  <si>
    <t>Bourání stávajícího potrubí z trub litinových DN 80-100</t>
  </si>
  <si>
    <t>Výřez nebo výsek na potrubí z trub litinových tlakových nebo plastických hmot DN 80-100</t>
  </si>
  <si>
    <t>trouba vodovodní litinová hrdlová hrdlová Zn+Al povlak K9 dl 6m DN 80 s komorou pro jištěný spoj typu BLS</t>
  </si>
  <si>
    <t>jisticí segment pro jištěný spoj typu BLS DN 80</t>
  </si>
  <si>
    <t>Montáž potrubí z trub litinových hrdlových DN 80 s integrovaným těsněním nasunutím do ocelové chráničky</t>
  </si>
  <si>
    <t>"DN 80" (1,0*0,1*881,88)</t>
  </si>
  <si>
    <t>"podkladní štěrkopísek" 192,003</t>
  </si>
  <si>
    <t>"odpočet vytlačená kubatura" -((1,0*0,5*881,88)+(1,0*0,52*1038,15))</t>
  </si>
  <si>
    <t>"viz TZ a PD" 2</t>
  </si>
  <si>
    <t>šoupátko s přírubami voda DN 80 PN16 - jen doprava ze skladu objednatele</t>
  </si>
  <si>
    <t>souprava zemní pro šoupátka DN 65-80mm Rd 2,0m- jen doprava ze skladu objednatele</t>
  </si>
  <si>
    <t>šoupátko pitná voda litina GGG 50 krátká stavební dl PN10/16 DN 80x180mm- jen doprava ze skladu objednatele</t>
  </si>
  <si>
    <t>kolo ruční pro DN 65-80 D 175mm- jen doprava ze skladu objednatele</t>
  </si>
  <si>
    <t>ventil odvzdušňovací/zavzdušňovací přírubový PN 16, pitná voda DN 80- jen doprava ze skladu objednatele</t>
  </si>
  <si>
    <t>hydrant podzemní DN 80 PN 16 jednoduchý uzávěr krycí v 1250mm- jen doprava ze skladu objednatele</t>
  </si>
  <si>
    <t>hydrant podzemní DN 80 PN 16 jednoduchý uzávěr krycí v 1500mm- jen doprava ze skladu objednatele</t>
  </si>
  <si>
    <t>šoupátko s přírubami voda DN 100 PN16- jen doprava ze skladu objednatele</t>
  </si>
  <si>
    <t>souprava zemní pro šoupátka DN 100-150m Rd 2,0m- jen doprava ze skladu objednatele</t>
  </si>
  <si>
    <t>šoupátko pitná voda litina GGG 50 krátká stavební dl PN10/16 DN 100x190mm- jen doprava ze skladu objednatele</t>
  </si>
  <si>
    <t>kolo ruční pro DN 100 D 300mm- jen doprava ze skladu objednatele</t>
  </si>
  <si>
    <t>Zkouška průchodnosti potrubí volným nástrojem, v ceně je i zabezpečení konců zkoušeného potrubí</t>
  </si>
  <si>
    <r>
      <t xml:space="preserve">Zabezpečení konců potrubí DN do 300 </t>
    </r>
    <r>
      <rPr>
        <u/>
        <sz val="9"/>
        <rFont val="Arial CE"/>
        <charset val="238"/>
      </rPr>
      <t>při tlakových zkouškách vodo</t>
    </r>
    <r>
      <rPr>
        <sz val="9"/>
        <rFont val="Arial CE"/>
      </rPr>
      <t>u</t>
    </r>
  </si>
  <si>
    <t xml:space="preserve">"DN 80" </t>
  </si>
  <si>
    <t>"DN 100"</t>
  </si>
  <si>
    <t xml:space="preserve">"DN 100" </t>
  </si>
  <si>
    <t>poklop litinový šoupátkový pro zemní soupravy osazení do terénu a do vozovky- jen doprava ze skladu objednatele</t>
  </si>
  <si>
    <t>poklop litinový hydrantový DN 80- jen doprava ze skladu objednatele</t>
  </si>
  <si>
    <t>deska podkladová uličního poklopu plastového hydrantového- jen doprava ze skladu objednatele</t>
  </si>
  <si>
    <t>"asfalt. komunikace SÚS" (513+2,4+2,5+2,5+3+82)*2</t>
  </si>
  <si>
    <t>"MK asfalt" (244,4+10+94,9+38,5+616)*2</t>
  </si>
  <si>
    <t>Řezání stávajícího živičného krytu hl do 100 mm</t>
  </si>
  <si>
    <t>Vodonepropustné zapravení původního  prostupu potrubí DN 150 ve stěně šachty</t>
  </si>
  <si>
    <t>ks</t>
  </si>
  <si>
    <t>napojení přípojek potrubím z PE 32 průměrné délky 5 m na provizorní vodovod z PE včetně odbočky, šoupěte DN 25 a napojení na původní přípojku spojkou ISIFLO - zřízení a odstranění</t>
  </si>
  <si>
    <t>877161112R</t>
  </si>
  <si>
    <t>Montáž elektrokolen  na vodovodním potrubí z PE trub d 32</t>
  </si>
  <si>
    <t>28654318R</t>
  </si>
  <si>
    <t>koleno 45° PE DN 25</t>
  </si>
  <si>
    <t>871211R50</t>
  </si>
  <si>
    <t>871211R32</t>
  </si>
  <si>
    <t>demontáž poklopu na šoupěti, uskladnění, osazení jako provizorního poklopu do doby opravy asfaltové komunikace</t>
  </si>
  <si>
    <t xml:space="preserve">Ruční výkop jámy pro napojení provizorní vodovdní přípojky na stávající přípojku , kubatura do 1,5 m3, včetně odstranění souvrství komunikace 0,8x1 m - zřízení a odstranění </t>
  </si>
  <si>
    <t>899911136R</t>
  </si>
  <si>
    <t>899913143</t>
  </si>
  <si>
    <t>Uzavírací manžeta chráničky potrubí D 100 x 220</t>
  </si>
  <si>
    <t>Kluzná objímka typ A, B výšky 36 mm na potrubí vnějšího průměru 100 mm, osová vzdálenost 1,5 m</t>
  </si>
  <si>
    <t>potrubí PE 90 délky 1 m pro ochranu zemních souprav šoupat a její výplň pískem fr. 0-4</t>
  </si>
  <si>
    <t>Demontáž stupadel odřezáním, likvidace</t>
  </si>
  <si>
    <t>"AŠ A16"  2 ks</t>
  </si>
  <si>
    <t>"AŠ A11" 5</t>
  </si>
  <si>
    <t>Stupadla do šachet kramlouvá z litiny s  PE povlakem s vyvrtáním otvoru v betonu</t>
  </si>
  <si>
    <t>Dodávka a montáž  žebříku do armaturní šachty A9 z korozivzdorné oceli 1.4301 (X5CrNi18-10) dle ČSN EN 10088-1 (ekvivalentní s AISI 304, resp. 17 240 dle ČSN 41 7240):
délka 220 cm, vzdálenost příčlí 30 cm, šířka venkovní 40 cm, výsuvné madlo délky 110 cm se zajištěním ve vysunuté poloze, 
Ostatní podmínky : 
-    dodavatel si změří na stavbě přesné rozměry a řešení obou žebříků odsouhlasí s objednatelem
-    protiskluzná úprava příčlí
-	Žebřík bude kotven s použitím chemické malty
-	konstrukce musí být svařována metodou TIG (WIG),
-	sváry budou ošetřeny mořící pastou a opláchnuty vodou</t>
  </si>
  <si>
    <t>Dodávka a montáž  žebříku do armaturní šachty A10 z korozivzdorné oceli 1.4301 (X5CrNi18-10) dle ČSN EN 10088-1 (ekvivalentní s AISI 304, resp. 17 240 dle ČSN 41 7240):
délka 265 cm, vzdálenost příčlí 30 cm, šířka venkovní 40 cm, výsuvné madlo délky 110 cm se zajištěním ve vysunuté poloze, 
Ostatní podmínky : 
-    dodavatel si změří na stavbě přesné rozměry a řešení obou žebříků odsouhlasí s objednatelem
-    protiskluzná úprava příčlí
-	Žebřík bude kotven s použitím chemické malty
-	konstrukce musí být svařována metodou TIG (WIG),
-	sváry budou ošetřeny mořící pastou a opláchnuty vodou</t>
  </si>
  <si>
    <t>"AŠ A16" 0,3*5</t>
  </si>
  <si>
    <t>-1006376926</t>
  </si>
  <si>
    <t xml:space="preserve">Statická hutnící zkouška - provedení akreditovaným subjektem se stanovením modulu přetvárnosti Edef2 a poměru Edef2/Edef1, včetně vypracování protokolu. Úprava povrchu terénu , provedení zkoušky na budoucí pláni opravované komunikace </t>
  </si>
  <si>
    <t>-914012590</t>
  </si>
  <si>
    <t>20002</t>
  </si>
  <si>
    <t xml:space="preserve">Zdokumentování stávajícího stavu okolních staveb. Pasport dotčených budov, plotů a přístupových tras ,včetně pořízení fotodokumentace a předání výsledků investorovi </t>
  </si>
  <si>
    <t>187453578</t>
  </si>
  <si>
    <t>20003</t>
  </si>
  <si>
    <t>Spolupráce při záchranném archeologickém dohledu spočívající v komunikaci s dohledem a účast při jeho návštěvách</t>
  </si>
  <si>
    <t>734736185</t>
  </si>
  <si>
    <t>20004</t>
  </si>
  <si>
    <t>520697042</t>
  </si>
  <si>
    <t>20005</t>
  </si>
  <si>
    <t>Vytyčení stávajících podzemních sítí, rizika a zvláštní opatření</t>
  </si>
  <si>
    <t>79728404</t>
  </si>
  <si>
    <t>20006</t>
  </si>
  <si>
    <t>Dokumentace geodetického zaměření stavby. Průběžné zaměřování a odesílání zpracovaných výkresů objednateli k posouzení, závěrečné zpracování dokumentace geodetického zaměření stavby dle standartizovaných požadavků objednatele</t>
  </si>
  <si>
    <t>1242326742</t>
  </si>
  <si>
    <t>20007</t>
  </si>
  <si>
    <t>Dokumentace skutečného provedení stavby</t>
  </si>
  <si>
    <t>-298881273</t>
  </si>
  <si>
    <t>20008</t>
  </si>
  <si>
    <t>Zabezpečení staveniště oplocením</t>
  </si>
  <si>
    <t>-492375826</t>
  </si>
  <si>
    <t>20009</t>
  </si>
  <si>
    <t>Doklady k předání a převzetí díla</t>
  </si>
  <si>
    <t>-1228347975</t>
  </si>
  <si>
    <t>20010</t>
  </si>
  <si>
    <t>Dopravně inženýrské opatření ( DIO ) – zpracování návrhů, projednání s dotčenými orgány státní správy</t>
  </si>
  <si>
    <t>1932091609</t>
  </si>
  <si>
    <t>20011</t>
  </si>
  <si>
    <t>Dopravně inženýrské opatření ( DIO ) – realizace ( osazení dopravnho značení, pronájem, odstranění dop.značení )</t>
  </si>
  <si>
    <t>20012</t>
  </si>
  <si>
    <t>Fotofokumentace v průběhu provádění díla</t>
  </si>
  <si>
    <t>-868712483</t>
  </si>
  <si>
    <t>20013</t>
  </si>
  <si>
    <t xml:space="preserve">Ostatní náklady uvedené v PD a technických podmínkách zadavatele, např. spolupůsobení s obyvateli při provádění stavby. </t>
  </si>
  <si>
    <t>877134669</t>
  </si>
  <si>
    <t>20014</t>
  </si>
  <si>
    <t>Zvláštní požadavky a zhotovení - TP bo 1.17.</t>
  </si>
  <si>
    <t>-909561891</t>
  </si>
  <si>
    <t>Vytyčení stavby  oprávněným geodetem , ochrana geodetických bodů před poškozením</t>
  </si>
  <si>
    <t>20015</t>
  </si>
  <si>
    <t>Geodetické zaměření nové obrusné asfaltové vrstvy (ACO) komunikace se zpracováním výkresu a výpočtem plochy</t>
  </si>
  <si>
    <t>"obsyp potrubí" 802,879</t>
  </si>
  <si>
    <t>"podkladní štěrkopísek pod potrubí" 192,003</t>
  </si>
  <si>
    <t>"ŠD a ŠP komunikací" (605,4*0,15)+(121,6*0,2)+(1003,8*0,25)+(605,4*0,3)</t>
  </si>
  <si>
    <t>-1859316067</t>
  </si>
  <si>
    <t>"provizorní komunikace"</t>
  </si>
  <si>
    <t>Frézování živičného krytu tl 40 mm pruh š přes 1 m pl přes 500 m2</t>
  </si>
  <si>
    <t>Frézování živičného krytu tl 50 mm pruh š přes 1 m pl přes 500 m2</t>
  </si>
  <si>
    <t>"MK asfalt-podkldní vrstva" (244,4+10+94,9+38,5+616)*1,0</t>
  </si>
  <si>
    <t>Frézování živičného krytu tl 100 mm pruh š do 1 m pl přes 500 m2</t>
  </si>
  <si>
    <t>"asfalt. komunikace SÚS- podkladní vrstvy" (513+2,4+2,5+2,5+3+82)*1</t>
  </si>
  <si>
    <t>"frézovaný asfalt"1606*0,04+2456,76*0,05+605,4*0,1</t>
  </si>
  <si>
    <t>"frézovaný asfalt" (1606*0,04+2456,76*0,05+605,4*0,1)*2</t>
  </si>
  <si>
    <t>Odstranění podkladu z živičného recyklátu tl.  100 -150 mm strojně pl přes 200 m2</t>
  </si>
  <si>
    <t>"potrubí" 7,6</t>
  </si>
  <si>
    <t>"armatury" 0,2</t>
  </si>
  <si>
    <t>Odvoz suti a vybouraných hmot na skládku nebo meziskládku  se složením ( vzdálenost si určí dodavatel )</t>
  </si>
  <si>
    <t>Odvoz asfaltového recyklátu ke zpětnému využití se složením ( vzdálenost si určí dodavatel )</t>
  </si>
  <si>
    <t xml:space="preserve">Poplatek za uložení na skládce (skládkovné) stavebního odpadu </t>
  </si>
  <si>
    <t>Podklad z asfaltového recyklátu tl 120 mm</t>
  </si>
  <si>
    <t>"MK asfalt"  (244,4+10+94,9+38,5+616)*1</t>
  </si>
  <si>
    <t>Podklad z asfaltového recyklátu tl 150 mm</t>
  </si>
  <si>
    <t>"asfalt. komunikace SÚS" 0,8*(2,4*2+2,2+2,6+2,5+2,1+2,3*3+2,7+2,5*3)</t>
  </si>
  <si>
    <t>"asfalt. komunikace SÚS- podkladní vrstvy"0,8*(2,4*2+2,2+2,6+2,5+2,1+2,3*3+2,7+2,5*3)</t>
  </si>
  <si>
    <t>Dočasné zajištění kabelů a kabelových tratí ze 3 volně ložených kabelů vyvěšením či podepřením</t>
  </si>
  <si>
    <t>(0,8*1,7*154,22)</t>
  </si>
  <si>
    <t>"odpočet povrchů" -((0,8*0,45*20)+(0,8*0,36*93)+(0,8*0,6*31,3)+(0,8*0,2*40))</t>
  </si>
  <si>
    <t>"hor 3 60%" 154,331*0,6</t>
  </si>
  <si>
    <t xml:space="preserve">"hor 4 40%" </t>
  </si>
  <si>
    <t>(2*1,7*154,22)</t>
  </si>
  <si>
    <t>"ornice " (32*0,2)</t>
  </si>
  <si>
    <t>"hloubení rýh" 154,331</t>
  </si>
  <si>
    <t>"DN 32" (0,8*0,25*154,22)</t>
  </si>
  <si>
    <t>*1,9</t>
  </si>
  <si>
    <t>452111111</t>
  </si>
  <si>
    <t>Osazení betonových dílců pražců pod potrubí v otevřeném výkopu, průřezové plochy do 25000 mm2</t>
  </si>
  <si>
    <t>265731855</t>
  </si>
  <si>
    <t>5922826620</t>
  </si>
  <si>
    <t>kostka betonová min. rozměr 200x200x50</t>
  </si>
  <si>
    <t xml:space="preserve">"podkladní bloky pod přípojková šoupata" </t>
  </si>
  <si>
    <t>Asfaltový beton vrstva ložní  ACO 16 (ABH) tl 70 mm š do 3 m z nemodifikovaného asfaltu</t>
  </si>
  <si>
    <t>"výkopek , který nelze použít do zásypů - odvoz na skládku, předpoklad 50 % z celkových výkopů"  154,331*0,5</t>
  </si>
  <si>
    <t>77,166*1,9</t>
  </si>
  <si>
    <t>"odpočet vytlačená kubatura" -(0,8*0,35*154,22)</t>
  </si>
  <si>
    <t>"náhrada za nevhodný výkopek, odvezený na skládku"77,166*1,9</t>
  </si>
  <si>
    <t>"ornice na mezideponii a zpět" (32*0,2)*2</t>
  </si>
  <si>
    <t>"obsyp"30,844</t>
  </si>
  <si>
    <t xml:space="preserve">"podkladní štěrkopísek" </t>
  </si>
  <si>
    <t>"ŠD a ŠP komunikací" (25,040*0,15)+(32*0,2)+(74,4*0,25)+(25,040*0,3)</t>
  </si>
  <si>
    <t>"MK asfalt-podkladní vrstva" (0,8*93)</t>
  </si>
  <si>
    <t>"frézovaný asfalt"74,4*0,04+99,44*0,05+25,04*0,1</t>
  </si>
  <si>
    <t>"ornice na mezideponii a zpět" (212*0,2)</t>
  </si>
  <si>
    <t>"ornice na mezideponii a zpět" (32*0,2)</t>
  </si>
  <si>
    <t>"viz TZ a PD" 154,22</t>
  </si>
  <si>
    <t>šoupátko domovní přípojky litinové vnitřní/vnitřní závit PN16 1"x1" - jen doprava ze skladu objednatele</t>
  </si>
  <si>
    <t>pás navrtávací z tvárné litiny DN 80, univerzální, se závitovým výstupem 1" - jen doprava ze skladu objednatele</t>
  </si>
  <si>
    <t>pás navrtávací z tvárné litiny DN 100, univerzální, se závitovým výstupem 1" - jen doprava ze skladu objednatele</t>
  </si>
  <si>
    <t>poklop litinový šoupátkový pro zemní soupravy osazení do terénu a do vozovky - jen doprava ze skladu objednatele</t>
  </si>
  <si>
    <t>"armatury" 0,172</t>
  </si>
  <si>
    <t>CS ÚRS 2023 02</t>
  </si>
  <si>
    <t>spojka ISIFLO T100 pro potrubí d32</t>
  </si>
  <si>
    <t>spojka ISIFLO T116 s vnitřním závitem  d32x1"</t>
  </si>
  <si>
    <t>spojka ISIFLO T110 speciální rozměr s vnějším závitem 34x1"</t>
  </si>
  <si>
    <t>spojka ISIFLO T100 speciální rozměr 34x32</t>
  </si>
  <si>
    <t>Montáž elektrospojek na vodovodním potrubí z PE trub</t>
  </si>
  <si>
    <t>elektroredukce 63x32</t>
  </si>
  <si>
    <t>Montáž spojek ISIFLO na vodovodním potrubí z PE trub</t>
  </si>
  <si>
    <t>ISIFLO vnitřní podpůrná vsuvka pro HD PE T180 d=32</t>
  </si>
  <si>
    <t>42291072R</t>
  </si>
  <si>
    <t>-931891895</t>
  </si>
  <si>
    <t>891211112</t>
  </si>
  <si>
    <t>Montáž vodovodních šoupátek otevřený výkop DN 50</t>
  </si>
  <si>
    <t>897758391</t>
  </si>
  <si>
    <t>42221114R</t>
  </si>
  <si>
    <t>449709434</t>
  </si>
  <si>
    <t>souprava zemní pro šoupátka DN 32-40  - jen doprava ze skladu objednatele</t>
  </si>
  <si>
    <t>šoupátko přírubové vodovodní  DN 50 PN 10-16 - jen doprava ze skladu objednatele</t>
  </si>
  <si>
    <t>42291078R</t>
  </si>
  <si>
    <t>-881714389</t>
  </si>
  <si>
    <t>souprava zemní pro šoupátka DN 40-50mm - jen doprava ze skladu objednatele</t>
  </si>
  <si>
    <t>"DN 32," (0,8*0,1*154,22)</t>
  </si>
  <si>
    <t xml:space="preserve">"podkladní bloky pod  šoupata" </t>
  </si>
  <si>
    <t>0,5*0,3*0,25*(37+59)</t>
  </si>
  <si>
    <t>"kamenivo z původní konstruce komunikací" 1730,8*0,3</t>
  </si>
  <si>
    <t>"kamenivo z původní konstruce komunikací" 1730,8*0,3*2</t>
  </si>
  <si>
    <t>"kamenivo z původní konstruce komunikací" -1730,8*0,3*1,9</t>
  </si>
  <si>
    <t>"zásyp ŠD " 1339,694/1,9</t>
  </si>
  <si>
    <t>"kamenivo z původní konstruce komunikací" 115,44*0,3*2</t>
  </si>
  <si>
    <t>"kamenivo z původní konstruce komunikací" 115,44*0,3</t>
  </si>
  <si>
    <t>"kamenivo z původní konstruce komunikací" 115,44*0,3*1,9</t>
  </si>
  <si>
    <t>"zásyp ŠD " 80,815/1,9</t>
  </si>
  <si>
    <t>1213,793*1,8</t>
  </si>
  <si>
    <t>"MK asfalt" 0,6*15</t>
  </si>
  <si>
    <t>"ŠD  komunikací" (9*0,25)</t>
  </si>
  <si>
    <t>frézovaný asfalt (9*0,04+9*0,05)*2,4</t>
  </si>
  <si>
    <t>frézovaný asfalt (1606*0,04+2456,76*0,05+605,4*0,1)*2,4</t>
  </si>
  <si>
    <t>frézovaný asfalt (77,4*0,04+99,44*0,05+25,04*0,1)*2,4</t>
  </si>
  <si>
    <t>Vypracování geometrického plánu pro vyznačení věcného břemene služebnosti příslušející k nově vybudovanému plynovodu na pozemku parc.č. 392 a 41/5 v k.ú. Horky n.J. dle podmínek ze stanoviskaspolečnosti Gasnet z 14.6.2024 vč.jeho ověření na katastrálním úřadu ( zpracování dle dle metodického pokynu -viz odkaz https://www.gasnet.cz/pro-partnery/technicke-dokumenty ) v potřebném počtu.</t>
  </si>
  <si>
    <t>Zajistění smluv o zřízení  věcného břemene služebnosti příslušející k nově vybudovanému plynovodu na pozemku parc.č. 392 a 41/5 v k.ú. Horky n.J. , uzavřených mezi provozovatelem plynovodu Gasnet s.r.o. a majitelem pozemků obcí Horky nad Jizerou v potřebném počtu.</t>
  </si>
  <si>
    <t>Zpracování geodetického zazaměření stavby přeložky plynovodu dle směrnice provozovatele plynovodu ( viz odkaz https://www.gasnet.cz/pro-partnery/technicke-dokumenty ) v potřebném počtu.</t>
  </si>
  <si>
    <t>elektrokoleno PE 100 PN16 D 50- 30°</t>
  </si>
  <si>
    <t>Tlaková zkouška vzduchem 0,6 MPa DN 50 ( v ceně zabezpečení konců zkoušeného potrubí )</t>
  </si>
  <si>
    <t>"zatravnění" (0,8*30)</t>
  </si>
  <si>
    <t>Sejmutí ornice plochy do 100 m2 tl vrstvy do 200 mm včetně naložení na dopravní prostředek</t>
  </si>
  <si>
    <t>"ornice na mezideponii a zpět" (24*0,2)*2</t>
  </si>
  <si>
    <t>"ornice na mezideponii a zpět" (24*0,2)</t>
  </si>
  <si>
    <t>*0,015 'Přepočtené koeficientem množství</t>
  </si>
  <si>
    <t>151 a</t>
  </si>
  <si>
    <t>Uzavírací manžeta chráničky potrubí D 100 x 220, dělená</t>
  </si>
  <si>
    <t>spojka ISIFLO T116 40x1" s vnitřním závitem</t>
  </si>
  <si>
    <t>spojka ISIFLO T110  32x1" s vnějším závitem</t>
  </si>
  <si>
    <t>4,34*2,4</t>
  </si>
  <si>
    <t>hydrant podzemní DN 80 PN 16 jednoduchý uzávěr krycí v 750mm- jen doprava ze skladu objednatele</t>
  </si>
  <si>
    <t>"viz TZ a PD" 9+8+2+1+1</t>
  </si>
  <si>
    <t>96 a</t>
  </si>
  <si>
    <t>GF-WAGA M/J 3057 Plus EPDM těs.- spojka s přírubou   DN 100; Rozsah d 104-132 / DN 100; jištění v tahu do  PN 16</t>
  </si>
  <si>
    <t>96 b</t>
  </si>
  <si>
    <t>Podpůrná nerezová vsuvka do PE potrubí 110</t>
  </si>
  <si>
    <t>GF-WAGA M/J 3107 Plus EPDM těs.- spojka redukovaná   DN 100/80</t>
  </si>
  <si>
    <t>91 a</t>
  </si>
  <si>
    <t>Podpůrná nerezová vsuvka do PE potrubí 90</t>
  </si>
  <si>
    <t>nové vodovody</t>
  </si>
  <si>
    <t>provizorní vodovody</t>
  </si>
  <si>
    <t>provizorní vodovod z PE DN 100 včetně napojovacích armatur na původní řad - zřízení a odstranění na povrchu mimo komunikace, v místě přejezdů ochrana potrubí ( chránička, dřevění obednění )</t>
  </si>
  <si>
    <t>provizorní vodovod z PE DN 80 včetně napojovacích armatur na původní řad- zřízení a odstranění na povrchu mimo komunikace, v místě přejezdů ochrana potrubí ( chránička, dřevění obednění )</t>
  </si>
  <si>
    <t>provizorní vodovod z PE DN 50 včetně napojovacích armatur na původní řad - zřízení a odstranění na povrchu mimo komunikace, v místě přejezdů ochrana potrubí ( chránička, dřevění obednění )</t>
  </si>
  <si>
    <t>dle položky č. 56 881,14 m</t>
  </si>
  <si>
    <t>"dodávka materiálu pro přeložku na řadu A4 " 49,1 m</t>
  </si>
  <si>
    <t>20016</t>
  </si>
  <si>
    <t>Provedení laboratorních zkoušek certifikovaným subjektem ( stanovení zrnitostního složení, čísla plasticity a konzistence zeminy ) a  zatřídění zeminy dle ČSN 736133. Včetně odběru vzorků.</t>
  </si>
  <si>
    <t>Vedlejší náklady</t>
  </si>
  <si>
    <t>"řad A2" 122,1-36</t>
  </si>
  <si>
    <t>"viz TZ a PD" 14+11+7+7+1</t>
  </si>
  <si>
    <t>Zhotovení bypasu z potrubí PE 100 SDR 11 d 50 mm</t>
  </si>
  <si>
    <t>Napojení  bypasu z potrubí PE 100 SDR 11 d 50 mm na stávající potrubí Pe d50  navrtávacím hrdlem s KK DN 40</t>
  </si>
  <si>
    <t>Propojení nového  potrubí PE 100 SDR 11 d 50 mm na stávající potrubí Pe d50  s použitím stop systému ( nebo stlačením potrubí ) a odfukem plynu</t>
  </si>
  <si>
    <t>Propojení nového  potrubí přípojky PE 100 SDR 11 d 32 mm na stávající část přípojky</t>
  </si>
  <si>
    <t xml:space="preserve">Signalizační vodič Cu 2,5 mm2 s izolací CYY </t>
  </si>
  <si>
    <t>25 a</t>
  </si>
  <si>
    <t>Propojení nového signalizačního vodiče Cu 2,5 mm2 s izolací CYY na stávající vodič.</t>
  </si>
  <si>
    <t>Zpracování dokumentace stavby k přejímce přeložky plynovodu dle platných TPG ( seznam dokladů je na  https://www.gasnet.cz/pro-partnery/technicke-dokumenty ) v potřebném počtu.</t>
  </si>
  <si>
    <t xml:space="preserve">Cenová nabídka bude obsahovat všechny práce, požadované provozovatelem plynovodu Gasnet s.r.o. v jeho stanovisku  z 14.6.2024.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</si>
</sst>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i/>
      <sz val="8"/>
      <name val="Arial CE"/>
    </font>
    <font>
      <u/>
      <sz val="9"/>
      <name val="Arial CE"/>
      <charset val="238"/>
    </font>
    <font>
      <sz val="8"/>
      <name val="Arial CE"/>
      <family val="2"/>
    </font>
    <font>
      <sz val="11"/>
      <name val="Arial CE"/>
      <family val="2"/>
    </font>
    <font>
      <sz val="8"/>
      <name val="Arial CE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41" fillId="0" borderId="0"/>
  </cellStyleXfs>
  <cellXfs count="3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8" fillId="0" borderId="0" xfId="0" applyFont="1" applyProtection="1"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4" fontId="44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Alignment="1" applyProtection="1">
      <alignment wrapText="1"/>
    </xf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12" xfId="0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3" fontId="24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3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3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5" borderId="0" xfId="0" applyFont="1" applyFill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Protection="1"/>
    <xf numFmtId="0" fontId="9" fillId="0" borderId="3" xfId="0" applyFont="1" applyBorder="1" applyAlignment="1" applyProtection="1">
      <alignment horizontal="right" vertical="center" wrapText="1"/>
    </xf>
    <xf numFmtId="0" fontId="0" fillId="0" borderId="11" xfId="0" applyBorder="1" applyAlignment="1" applyProtection="1">
      <alignment vertical="center"/>
    </xf>
    <xf numFmtId="166" fontId="33" fillId="0" borderId="12" xfId="0" applyNumberFormat="1" applyFont="1" applyBorder="1" applyProtection="1"/>
    <xf numFmtId="166" fontId="33" fillId="0" borderId="13" xfId="0" applyNumberFormat="1" applyFont="1" applyBorder="1" applyProtection="1"/>
    <xf numFmtId="4" fontId="34" fillId="0" borderId="0" xfId="0" applyNumberFormat="1" applyFont="1" applyAlignment="1" applyProtection="1">
      <alignment vertical="center"/>
    </xf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3" xfId="0" applyFont="1" applyBorder="1" applyAlignment="1" applyProtection="1">
      <alignment horizontal="right" wrapText="1"/>
    </xf>
    <xf numFmtId="0" fontId="8" fillId="0" borderId="14" xfId="0" applyFont="1" applyBorder="1" applyProtection="1"/>
    <xf numFmtId="166" fontId="8" fillId="0" borderId="0" xfId="0" applyNumberFormat="1" applyFont="1" applyProtection="1"/>
    <xf numFmtId="166" fontId="8" fillId="0" borderId="15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23" fillId="3" borderId="14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/>
    </xf>
    <xf numFmtId="166" fontId="23" fillId="0" borderId="0" xfId="0" applyNumberFormat="1" applyFont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0" fillId="0" borderId="3" xfId="0" applyBorder="1" applyAlignment="1" applyProtection="1">
      <alignment horizontal="right"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>
      <alignment horizontal="right" vertical="center" wrapText="1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49" fontId="22" fillId="0" borderId="22" xfId="0" applyNumberFormat="1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right" vertical="center" wrapText="1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9" fillId="0" borderId="3" xfId="0" applyFont="1" applyBorder="1" applyAlignment="1" applyProtection="1">
      <alignment horizontal="right"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6" fillId="3" borderId="14" xfId="0" applyFont="1" applyFill="1" applyBorder="1" applyAlignment="1" applyProtection="1">
      <alignment horizontal="left" vertical="center"/>
    </xf>
    <xf numFmtId="0" fontId="36" fillId="0" borderId="0" xfId="0" applyFont="1" applyAlignment="1" applyProtection="1">
      <alignment horizontal="center" vertical="center"/>
    </xf>
    <xf numFmtId="0" fontId="23" fillId="0" borderId="14" xfId="0" applyFont="1" applyBorder="1" applyAlignment="1" applyProtection="1">
      <alignment horizontal="left" vertical="center"/>
    </xf>
    <xf numFmtId="49" fontId="22" fillId="0" borderId="22" xfId="2" applyNumberFormat="1" applyFont="1" applyBorder="1" applyAlignment="1" applyProtection="1">
      <alignment horizontal="left" vertical="center" wrapText="1"/>
    </xf>
    <xf numFmtId="0" fontId="22" fillId="0" borderId="22" xfId="2" applyFont="1" applyBorder="1" applyAlignment="1" applyProtection="1">
      <alignment horizontal="left" vertical="center" wrapText="1"/>
    </xf>
    <xf numFmtId="0" fontId="22" fillId="0" borderId="22" xfId="2" applyFont="1" applyBorder="1" applyAlignment="1" applyProtection="1">
      <alignment horizontal="center" vertical="center" wrapText="1"/>
    </xf>
    <xf numFmtId="167" fontId="22" fillId="0" borderId="22" xfId="2" applyNumberFormat="1" applyFont="1" applyBorder="1" applyAlignment="1" applyProtection="1">
      <alignment vertical="center"/>
    </xf>
    <xf numFmtId="49" fontId="36" fillId="0" borderId="22" xfId="2" applyNumberFormat="1" applyFont="1" applyBorder="1" applyAlignment="1" applyProtection="1">
      <alignment horizontal="left" vertical="center" wrapText="1"/>
    </xf>
    <xf numFmtId="0" fontId="36" fillId="0" borderId="22" xfId="2" applyFont="1" applyBorder="1" applyAlignment="1" applyProtection="1">
      <alignment horizontal="left" vertical="center" wrapText="1"/>
    </xf>
    <xf numFmtId="0" fontId="43" fillId="0" borderId="3" xfId="0" applyFont="1" applyBorder="1" applyAlignment="1" applyProtection="1">
      <alignment vertical="center"/>
    </xf>
    <xf numFmtId="0" fontId="44" fillId="0" borderId="22" xfId="0" applyFont="1" applyBorder="1" applyAlignment="1" applyProtection="1">
      <alignment horizontal="center" vertical="center"/>
    </xf>
    <xf numFmtId="49" fontId="44" fillId="0" borderId="22" xfId="0" applyNumberFormat="1" applyFont="1" applyBorder="1" applyAlignment="1" applyProtection="1">
      <alignment horizontal="left" vertical="center" wrapText="1"/>
    </xf>
    <xf numFmtId="0" fontId="44" fillId="0" borderId="22" xfId="0" applyFont="1" applyBorder="1" applyAlignment="1" applyProtection="1">
      <alignment horizontal="left" vertical="center" wrapText="1"/>
    </xf>
    <xf numFmtId="0" fontId="44" fillId="0" borderId="22" xfId="0" applyFont="1" applyBorder="1" applyAlignment="1" applyProtection="1">
      <alignment horizontal="center" vertical="center" wrapText="1"/>
    </xf>
    <xf numFmtId="167" fontId="44" fillId="0" borderId="22" xfId="0" applyNumberFormat="1" applyFont="1" applyBorder="1" applyAlignment="1" applyProtection="1">
      <alignment vertical="center"/>
    </xf>
    <xf numFmtId="4" fontId="44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43" fillId="0" borderId="3" xfId="0" applyFont="1" applyBorder="1" applyAlignment="1" applyProtection="1">
      <alignment horizontal="right" vertical="center" wrapText="1"/>
    </xf>
    <xf numFmtId="0" fontId="44" fillId="3" borderId="14" xfId="0" applyFont="1" applyFill="1" applyBorder="1" applyAlignment="1" applyProtection="1">
      <alignment horizontal="left" vertical="center"/>
    </xf>
    <xf numFmtId="0" fontId="44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vertical="center"/>
    </xf>
    <xf numFmtId="166" fontId="22" fillId="0" borderId="0" xfId="0" applyNumberFormat="1" applyFont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43" fillId="0" borderId="0" xfId="0" applyFont="1" applyAlignment="1" applyProtection="1">
      <alignment horizontal="left" vertical="center"/>
    </xf>
    <xf numFmtId="4" fontId="43" fillId="0" borderId="0" xfId="0" applyNumberFormat="1" applyFont="1" applyAlignment="1" applyProtection="1">
      <alignment vertical="center"/>
    </xf>
    <xf numFmtId="0" fontId="37" fillId="0" borderId="3" xfId="0" applyFont="1" applyBorder="1" applyAlignment="1" applyProtection="1">
      <alignment horizontal="right" vertical="center" wrapText="1"/>
    </xf>
    <xf numFmtId="0" fontId="36" fillId="6" borderId="22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vertical="center" wrapText="1"/>
    </xf>
    <xf numFmtId="0" fontId="0" fillId="0" borderId="0" xfId="0" applyAlignment="1" applyProtection="1">
      <alignment horizontal="right" wrapText="1"/>
    </xf>
    <xf numFmtId="0" fontId="22" fillId="0" borderId="0" xfId="0" applyFont="1" applyAlignment="1" applyProtection="1">
      <alignment horizontal="center" vertical="center" wrapText="1"/>
    </xf>
    <xf numFmtId="0" fontId="37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43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right" vertical="center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22" fillId="0" borderId="18" xfId="0" applyFont="1" applyFill="1" applyBorder="1" applyAlignment="1" applyProtection="1">
      <alignment horizontal="center" vertical="center" wrapText="1"/>
    </xf>
    <xf numFmtId="0" fontId="23" fillId="3" borderId="19" xfId="0" applyFont="1" applyFill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42" fillId="0" borderId="12" xfId="0" applyFont="1" applyBorder="1" applyAlignment="1" applyProtection="1">
      <alignment horizontal="left" vertical="center" wrapText="1"/>
    </xf>
  </cellXfs>
  <cellStyles count="3">
    <cellStyle name="Hypertextový odkaz" xfId="1" builtinId="8"/>
    <cellStyle name="Normal" xfId="2" xr:uid="{0A5A72BC-2D9D-47C0-85F4-EF1C3A5D4AE5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topLeftCell="A79" workbookViewId="0">
      <selection activeCell="AG94" sqref="AG94:AM9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idden="1" x14ac:dyDescent="0.2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ht="36.950000000000003" hidden="1" customHeight="1" x14ac:dyDescent="0.2">
      <c r="AR2" s="302" t="s">
        <v>5</v>
      </c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9" t="s">
        <v>6</v>
      </c>
      <c r="BT2" s="9" t="s">
        <v>7</v>
      </c>
    </row>
    <row r="3" spans="1:74" ht="6.95" hidden="1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ht="24.95" hidden="1" customHeight="1" x14ac:dyDescent="0.2">
      <c r="B4" s="12"/>
      <c r="D4" s="13" t="s">
        <v>9</v>
      </c>
      <c r="AR4" s="12"/>
      <c r="AS4" s="14" t="s">
        <v>10</v>
      </c>
      <c r="BE4" s="15" t="s">
        <v>11</v>
      </c>
      <c r="BS4" s="9" t="s">
        <v>12</v>
      </c>
    </row>
    <row r="5" spans="1:74" ht="12" hidden="1" customHeight="1" x14ac:dyDescent="0.2">
      <c r="B5" s="12"/>
      <c r="D5" s="16" t="s">
        <v>13</v>
      </c>
      <c r="K5" s="311" t="s">
        <v>14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R5" s="12"/>
      <c r="BE5" s="308" t="s">
        <v>15</v>
      </c>
      <c r="BS5" s="9" t="s">
        <v>6</v>
      </c>
    </row>
    <row r="6" spans="1:74" ht="36.950000000000003" hidden="1" customHeight="1" x14ac:dyDescent="0.2">
      <c r="B6" s="12"/>
      <c r="D6" s="18" t="s">
        <v>16</v>
      </c>
      <c r="K6" s="312" t="s">
        <v>17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R6" s="12"/>
      <c r="BE6" s="309"/>
      <c r="BS6" s="9" t="s">
        <v>6</v>
      </c>
    </row>
    <row r="7" spans="1:74" ht="12" hidden="1" customHeight="1" x14ac:dyDescent="0.2">
      <c r="B7" s="12"/>
      <c r="D7" s="19" t="s">
        <v>18</v>
      </c>
      <c r="K7" s="17" t="s">
        <v>1</v>
      </c>
      <c r="AK7" s="19" t="s">
        <v>19</v>
      </c>
      <c r="AN7" s="17" t="s">
        <v>1</v>
      </c>
      <c r="AR7" s="12"/>
      <c r="BE7" s="309"/>
      <c r="BS7" s="9" t="s">
        <v>6</v>
      </c>
    </row>
    <row r="8" spans="1:74" ht="12" hidden="1" customHeight="1" x14ac:dyDescent="0.2">
      <c r="B8" s="12"/>
      <c r="D8" s="19" t="s">
        <v>20</v>
      </c>
      <c r="K8" s="17" t="s">
        <v>21</v>
      </c>
      <c r="AK8" s="19" t="s">
        <v>22</v>
      </c>
      <c r="AN8" s="20" t="s">
        <v>23</v>
      </c>
      <c r="AR8" s="12"/>
      <c r="BE8" s="309"/>
      <c r="BS8" s="9" t="s">
        <v>6</v>
      </c>
    </row>
    <row r="9" spans="1:74" ht="14.45" hidden="1" customHeight="1" x14ac:dyDescent="0.2">
      <c r="B9" s="12"/>
      <c r="AR9" s="12"/>
      <c r="BE9" s="309"/>
      <c r="BS9" s="9" t="s">
        <v>6</v>
      </c>
    </row>
    <row r="10" spans="1:74" ht="12" hidden="1" customHeight="1" x14ac:dyDescent="0.2">
      <c r="B10" s="12"/>
      <c r="D10" s="19" t="s">
        <v>24</v>
      </c>
      <c r="AK10" s="19" t="s">
        <v>25</v>
      </c>
      <c r="AN10" s="17" t="s">
        <v>1</v>
      </c>
      <c r="AR10" s="12"/>
      <c r="BE10" s="309"/>
      <c r="BS10" s="9" t="s">
        <v>6</v>
      </c>
    </row>
    <row r="11" spans="1:74" ht="18.399999999999999" hidden="1" customHeight="1" x14ac:dyDescent="0.2">
      <c r="B11" s="12"/>
      <c r="E11" s="17" t="s">
        <v>21</v>
      </c>
      <c r="AK11" s="19" t="s">
        <v>26</v>
      </c>
      <c r="AN11" s="17" t="s">
        <v>1</v>
      </c>
      <c r="AR11" s="12"/>
      <c r="BE11" s="309"/>
      <c r="BS11" s="9" t="s">
        <v>6</v>
      </c>
    </row>
    <row r="12" spans="1:74" ht="6.95" hidden="1" customHeight="1" x14ac:dyDescent="0.2">
      <c r="B12" s="12"/>
      <c r="AR12" s="12"/>
      <c r="BE12" s="309"/>
      <c r="BS12" s="9" t="s">
        <v>6</v>
      </c>
    </row>
    <row r="13" spans="1:74" ht="12" hidden="1" customHeight="1" x14ac:dyDescent="0.2">
      <c r="B13" s="12"/>
      <c r="D13" s="19" t="s">
        <v>27</v>
      </c>
      <c r="AK13" s="19" t="s">
        <v>25</v>
      </c>
      <c r="AN13" s="21" t="s">
        <v>28</v>
      </c>
      <c r="AR13" s="12"/>
      <c r="BE13" s="309"/>
      <c r="BS13" s="9" t="s">
        <v>6</v>
      </c>
    </row>
    <row r="14" spans="1:74" ht="12.75" hidden="1" x14ac:dyDescent="0.2">
      <c r="B14" s="12"/>
      <c r="E14" s="313" t="s">
        <v>28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19" t="s">
        <v>26</v>
      </c>
      <c r="AN14" s="21" t="s">
        <v>28</v>
      </c>
      <c r="AR14" s="12"/>
      <c r="BE14" s="309"/>
      <c r="BS14" s="9" t="s">
        <v>6</v>
      </c>
    </row>
    <row r="15" spans="1:74" ht="6.95" hidden="1" customHeight="1" x14ac:dyDescent="0.2">
      <c r="B15" s="12"/>
      <c r="AR15" s="12"/>
      <c r="BE15" s="309"/>
      <c r="BS15" s="9" t="s">
        <v>3</v>
      </c>
    </row>
    <row r="16" spans="1:74" ht="12" hidden="1" customHeight="1" x14ac:dyDescent="0.2">
      <c r="B16" s="12"/>
      <c r="D16" s="19" t="s">
        <v>29</v>
      </c>
      <c r="AK16" s="19" t="s">
        <v>25</v>
      </c>
      <c r="AN16" s="17" t="s">
        <v>1</v>
      </c>
      <c r="AR16" s="12"/>
      <c r="BE16" s="309"/>
      <c r="BS16" s="9" t="s">
        <v>3</v>
      </c>
    </row>
    <row r="17" spans="2:71" ht="18.399999999999999" hidden="1" customHeight="1" x14ac:dyDescent="0.2">
      <c r="B17" s="12"/>
      <c r="E17" s="17" t="s">
        <v>21</v>
      </c>
      <c r="AK17" s="19" t="s">
        <v>26</v>
      </c>
      <c r="AN17" s="17" t="s">
        <v>1</v>
      </c>
      <c r="AR17" s="12"/>
      <c r="BE17" s="309"/>
      <c r="BS17" s="9" t="s">
        <v>30</v>
      </c>
    </row>
    <row r="18" spans="2:71" ht="6.95" hidden="1" customHeight="1" x14ac:dyDescent="0.2">
      <c r="B18" s="12"/>
      <c r="AR18" s="12"/>
      <c r="BE18" s="309"/>
      <c r="BS18" s="9" t="s">
        <v>6</v>
      </c>
    </row>
    <row r="19" spans="2:71" ht="12" hidden="1" customHeight="1" x14ac:dyDescent="0.2">
      <c r="B19" s="12"/>
      <c r="D19" s="19" t="s">
        <v>31</v>
      </c>
      <c r="AK19" s="19" t="s">
        <v>25</v>
      </c>
      <c r="AN19" s="17" t="s">
        <v>1</v>
      </c>
      <c r="AR19" s="12"/>
      <c r="BE19" s="309"/>
      <c r="BS19" s="9" t="s">
        <v>6</v>
      </c>
    </row>
    <row r="20" spans="2:71" ht="18.399999999999999" hidden="1" customHeight="1" x14ac:dyDescent="0.2">
      <c r="B20" s="12"/>
      <c r="E20" s="17" t="s">
        <v>21</v>
      </c>
      <c r="AK20" s="19" t="s">
        <v>26</v>
      </c>
      <c r="AN20" s="17" t="s">
        <v>1</v>
      </c>
      <c r="AR20" s="12"/>
      <c r="BE20" s="309"/>
      <c r="BS20" s="9" t="s">
        <v>30</v>
      </c>
    </row>
    <row r="21" spans="2:71" ht="6.95" hidden="1" customHeight="1" x14ac:dyDescent="0.2">
      <c r="B21" s="12"/>
      <c r="AR21" s="12"/>
      <c r="BE21" s="309"/>
    </row>
    <row r="22" spans="2:71" ht="12" hidden="1" customHeight="1" x14ac:dyDescent="0.2">
      <c r="B22" s="12"/>
      <c r="D22" s="19" t="s">
        <v>32</v>
      </c>
      <c r="AR22" s="12"/>
      <c r="BE22" s="309"/>
    </row>
    <row r="23" spans="2:71" ht="16.5" hidden="1" customHeight="1" x14ac:dyDescent="0.2">
      <c r="B23" s="12"/>
      <c r="E23" s="315" t="s">
        <v>1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R23" s="12"/>
      <c r="BE23" s="309"/>
    </row>
    <row r="24" spans="2:71" ht="6.95" hidden="1" customHeight="1" x14ac:dyDescent="0.2">
      <c r="B24" s="12"/>
      <c r="AR24" s="12"/>
      <c r="BE24" s="309"/>
    </row>
    <row r="25" spans="2:71" ht="6.95" hidden="1" customHeight="1" x14ac:dyDescent="0.2">
      <c r="B25" s="1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2"/>
      <c r="BE25" s="309"/>
    </row>
    <row r="26" spans="2:71" s="1" customFormat="1" ht="25.9" hidden="1" customHeight="1" x14ac:dyDescent="0.2">
      <c r="B26" s="23"/>
      <c r="D26" s="24" t="s">
        <v>33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99">
        <f>ROUND(AG94,2)</f>
        <v>0</v>
      </c>
      <c r="AL26" s="300"/>
      <c r="AM26" s="300"/>
      <c r="AN26" s="300"/>
      <c r="AO26" s="300"/>
      <c r="AR26" s="23"/>
      <c r="BE26" s="309"/>
    </row>
    <row r="27" spans="2:71" s="1" customFormat="1" ht="6.95" hidden="1" customHeight="1" x14ac:dyDescent="0.2">
      <c r="B27" s="23"/>
      <c r="AR27" s="23"/>
      <c r="BE27" s="309"/>
    </row>
    <row r="28" spans="2:71" s="1" customFormat="1" ht="12.75" hidden="1" x14ac:dyDescent="0.2">
      <c r="B28" s="23"/>
      <c r="L28" s="301" t="s">
        <v>34</v>
      </c>
      <c r="M28" s="301"/>
      <c r="N28" s="301"/>
      <c r="O28" s="301"/>
      <c r="P28" s="301"/>
      <c r="W28" s="301" t="s">
        <v>35</v>
      </c>
      <c r="X28" s="301"/>
      <c r="Y28" s="301"/>
      <c r="Z28" s="301"/>
      <c r="AA28" s="301"/>
      <c r="AB28" s="301"/>
      <c r="AC28" s="301"/>
      <c r="AD28" s="301"/>
      <c r="AE28" s="301"/>
      <c r="AK28" s="301" t="s">
        <v>36</v>
      </c>
      <c r="AL28" s="301"/>
      <c r="AM28" s="301"/>
      <c r="AN28" s="301"/>
      <c r="AO28" s="301"/>
      <c r="AR28" s="23"/>
      <c r="BE28" s="309"/>
    </row>
    <row r="29" spans="2:71" s="2" customFormat="1" ht="14.45" hidden="1" customHeight="1" x14ac:dyDescent="0.2">
      <c r="B29" s="26"/>
      <c r="D29" s="19" t="s">
        <v>37</v>
      </c>
      <c r="F29" s="19" t="s">
        <v>38</v>
      </c>
      <c r="L29" s="294">
        <v>0.21</v>
      </c>
      <c r="M29" s="293"/>
      <c r="N29" s="293"/>
      <c r="O29" s="293"/>
      <c r="P29" s="293"/>
      <c r="W29" s="292">
        <f>ROUND(AZ94, 2)</f>
        <v>0</v>
      </c>
      <c r="X29" s="293"/>
      <c r="Y29" s="293"/>
      <c r="Z29" s="293"/>
      <c r="AA29" s="293"/>
      <c r="AB29" s="293"/>
      <c r="AC29" s="293"/>
      <c r="AD29" s="293"/>
      <c r="AE29" s="293"/>
      <c r="AK29" s="292">
        <f>ROUND(AV94, 2)</f>
        <v>0</v>
      </c>
      <c r="AL29" s="293"/>
      <c r="AM29" s="293"/>
      <c r="AN29" s="293"/>
      <c r="AO29" s="293"/>
      <c r="AR29" s="26"/>
      <c r="BE29" s="310"/>
    </row>
    <row r="30" spans="2:71" s="2" customFormat="1" ht="14.45" hidden="1" customHeight="1" x14ac:dyDescent="0.2">
      <c r="B30" s="26"/>
      <c r="F30" s="19" t="s">
        <v>39</v>
      </c>
      <c r="L30" s="294">
        <v>0.12</v>
      </c>
      <c r="M30" s="293"/>
      <c r="N30" s="293"/>
      <c r="O30" s="293"/>
      <c r="P30" s="293"/>
      <c r="W30" s="292">
        <f>ROUND(BA94, 2)</f>
        <v>0</v>
      </c>
      <c r="X30" s="293"/>
      <c r="Y30" s="293"/>
      <c r="Z30" s="293"/>
      <c r="AA30" s="293"/>
      <c r="AB30" s="293"/>
      <c r="AC30" s="293"/>
      <c r="AD30" s="293"/>
      <c r="AE30" s="293"/>
      <c r="AK30" s="292">
        <f>ROUND(AW94, 2)</f>
        <v>0</v>
      </c>
      <c r="AL30" s="293"/>
      <c r="AM30" s="293"/>
      <c r="AN30" s="293"/>
      <c r="AO30" s="293"/>
      <c r="AR30" s="26"/>
      <c r="BE30" s="310"/>
    </row>
    <row r="31" spans="2:71" s="2" customFormat="1" ht="14.45" hidden="1" customHeight="1" x14ac:dyDescent="0.2">
      <c r="B31" s="26"/>
      <c r="F31" s="19" t="s">
        <v>40</v>
      </c>
      <c r="L31" s="294">
        <v>0.21</v>
      </c>
      <c r="M31" s="293"/>
      <c r="N31" s="293"/>
      <c r="O31" s="293"/>
      <c r="P31" s="293"/>
      <c r="W31" s="292">
        <f>ROUND(BB94, 2)</f>
        <v>0</v>
      </c>
      <c r="X31" s="293"/>
      <c r="Y31" s="293"/>
      <c r="Z31" s="293"/>
      <c r="AA31" s="293"/>
      <c r="AB31" s="293"/>
      <c r="AC31" s="293"/>
      <c r="AD31" s="293"/>
      <c r="AE31" s="293"/>
      <c r="AK31" s="292">
        <v>0</v>
      </c>
      <c r="AL31" s="293"/>
      <c r="AM31" s="293"/>
      <c r="AN31" s="293"/>
      <c r="AO31" s="293"/>
      <c r="AR31" s="26"/>
      <c r="BE31" s="310"/>
    </row>
    <row r="32" spans="2:71" s="2" customFormat="1" ht="14.45" hidden="1" customHeight="1" x14ac:dyDescent="0.2">
      <c r="B32" s="26"/>
      <c r="F32" s="19" t="s">
        <v>41</v>
      </c>
      <c r="L32" s="294">
        <v>0.12</v>
      </c>
      <c r="M32" s="293"/>
      <c r="N32" s="293"/>
      <c r="O32" s="293"/>
      <c r="P32" s="293"/>
      <c r="W32" s="292">
        <f>ROUND(BC94, 2)</f>
        <v>0</v>
      </c>
      <c r="X32" s="293"/>
      <c r="Y32" s="293"/>
      <c r="Z32" s="293"/>
      <c r="AA32" s="293"/>
      <c r="AB32" s="293"/>
      <c r="AC32" s="293"/>
      <c r="AD32" s="293"/>
      <c r="AE32" s="293"/>
      <c r="AK32" s="292">
        <v>0</v>
      </c>
      <c r="AL32" s="293"/>
      <c r="AM32" s="293"/>
      <c r="AN32" s="293"/>
      <c r="AO32" s="293"/>
      <c r="AR32" s="26"/>
      <c r="BE32" s="310"/>
    </row>
    <row r="33" spans="2:57" s="2" customFormat="1" ht="14.45" hidden="1" customHeight="1" x14ac:dyDescent="0.2">
      <c r="B33" s="26"/>
      <c r="F33" s="19" t="s">
        <v>42</v>
      </c>
      <c r="L33" s="294">
        <v>0</v>
      </c>
      <c r="M33" s="293"/>
      <c r="N33" s="293"/>
      <c r="O33" s="293"/>
      <c r="P33" s="293"/>
      <c r="W33" s="292">
        <f>ROUND(BD94, 2)</f>
        <v>0</v>
      </c>
      <c r="X33" s="293"/>
      <c r="Y33" s="293"/>
      <c r="Z33" s="293"/>
      <c r="AA33" s="293"/>
      <c r="AB33" s="293"/>
      <c r="AC33" s="293"/>
      <c r="AD33" s="293"/>
      <c r="AE33" s="293"/>
      <c r="AK33" s="292">
        <v>0</v>
      </c>
      <c r="AL33" s="293"/>
      <c r="AM33" s="293"/>
      <c r="AN33" s="293"/>
      <c r="AO33" s="293"/>
      <c r="AR33" s="26"/>
      <c r="BE33" s="310"/>
    </row>
    <row r="34" spans="2:57" s="1" customFormat="1" ht="6.95" hidden="1" customHeight="1" x14ac:dyDescent="0.2">
      <c r="B34" s="23"/>
      <c r="AR34" s="23"/>
      <c r="BE34" s="309"/>
    </row>
    <row r="35" spans="2:57" s="1" customFormat="1" ht="25.9" hidden="1" customHeight="1" x14ac:dyDescent="0.2">
      <c r="B35" s="23"/>
      <c r="C35" s="27"/>
      <c r="D35" s="28" t="s">
        <v>43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 t="s">
        <v>44</v>
      </c>
      <c r="U35" s="29"/>
      <c r="V35" s="29"/>
      <c r="W35" s="29"/>
      <c r="X35" s="307" t="s">
        <v>45</v>
      </c>
      <c r="Y35" s="305"/>
      <c r="Z35" s="305"/>
      <c r="AA35" s="305"/>
      <c r="AB35" s="305"/>
      <c r="AC35" s="29"/>
      <c r="AD35" s="29"/>
      <c r="AE35" s="29"/>
      <c r="AF35" s="29"/>
      <c r="AG35" s="29"/>
      <c r="AH35" s="29"/>
      <c r="AI35" s="29"/>
      <c r="AJ35" s="29"/>
      <c r="AK35" s="304">
        <f>SUM(AK26:AK33)</f>
        <v>0</v>
      </c>
      <c r="AL35" s="305"/>
      <c r="AM35" s="305"/>
      <c r="AN35" s="305"/>
      <c r="AO35" s="306"/>
      <c r="AP35" s="27"/>
      <c r="AQ35" s="27"/>
      <c r="AR35" s="23"/>
    </row>
    <row r="36" spans="2:57" s="1" customFormat="1" ht="6.95" hidden="1" customHeight="1" x14ac:dyDescent="0.2">
      <c r="B36" s="23"/>
      <c r="AR36" s="23"/>
    </row>
    <row r="37" spans="2:57" s="1" customFormat="1" ht="14.45" hidden="1" customHeight="1" x14ac:dyDescent="0.2">
      <c r="B37" s="23"/>
      <c r="AR37" s="23"/>
    </row>
    <row r="38" spans="2:57" ht="14.45" hidden="1" customHeight="1" x14ac:dyDescent="0.2">
      <c r="B38" s="12"/>
      <c r="AR38" s="12"/>
    </row>
    <row r="39" spans="2:57" ht="14.45" hidden="1" customHeight="1" x14ac:dyDescent="0.2">
      <c r="B39" s="12"/>
      <c r="AR39" s="12"/>
    </row>
    <row r="40" spans="2:57" ht="14.45" hidden="1" customHeight="1" x14ac:dyDescent="0.2">
      <c r="B40" s="12"/>
      <c r="AR40" s="12"/>
    </row>
    <row r="41" spans="2:57" ht="14.45" hidden="1" customHeight="1" x14ac:dyDescent="0.2">
      <c r="B41" s="12"/>
      <c r="AR41" s="12"/>
    </row>
    <row r="42" spans="2:57" ht="14.45" hidden="1" customHeight="1" x14ac:dyDescent="0.2">
      <c r="B42" s="12"/>
      <c r="AR42" s="12"/>
    </row>
    <row r="43" spans="2:57" ht="14.45" hidden="1" customHeight="1" x14ac:dyDescent="0.2">
      <c r="B43" s="12"/>
      <c r="AR43" s="12"/>
    </row>
    <row r="44" spans="2:57" ht="14.45" hidden="1" customHeight="1" x14ac:dyDescent="0.2">
      <c r="B44" s="12"/>
      <c r="AR44" s="12"/>
    </row>
    <row r="45" spans="2:57" ht="14.45" hidden="1" customHeight="1" x14ac:dyDescent="0.2">
      <c r="B45" s="12"/>
      <c r="AR45" s="12"/>
    </row>
    <row r="46" spans="2:57" ht="14.45" hidden="1" customHeight="1" x14ac:dyDescent="0.2">
      <c r="B46" s="12"/>
      <c r="AR46" s="12"/>
    </row>
    <row r="47" spans="2:57" ht="14.45" hidden="1" customHeight="1" x14ac:dyDescent="0.2">
      <c r="B47" s="12"/>
      <c r="AR47" s="12"/>
    </row>
    <row r="48" spans="2:57" ht="14.45" hidden="1" customHeight="1" x14ac:dyDescent="0.2">
      <c r="B48" s="12"/>
      <c r="AR48" s="12"/>
    </row>
    <row r="49" spans="2:44" s="1" customFormat="1" ht="14.45" hidden="1" customHeight="1" x14ac:dyDescent="0.2">
      <c r="B49" s="23"/>
      <c r="D49" s="31" t="s">
        <v>46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47</v>
      </c>
      <c r="AI49" s="32"/>
      <c r="AJ49" s="32"/>
      <c r="AK49" s="32"/>
      <c r="AL49" s="32"/>
      <c r="AM49" s="32"/>
      <c r="AN49" s="32"/>
      <c r="AO49" s="32"/>
      <c r="AR49" s="23"/>
    </row>
    <row r="50" spans="2:44" hidden="1" x14ac:dyDescent="0.2">
      <c r="B50" s="12"/>
      <c r="AR50" s="12"/>
    </row>
    <row r="51" spans="2:44" hidden="1" x14ac:dyDescent="0.2">
      <c r="B51" s="12"/>
      <c r="AR51" s="12"/>
    </row>
    <row r="52" spans="2:44" hidden="1" x14ac:dyDescent="0.2">
      <c r="B52" s="12"/>
      <c r="AR52" s="12"/>
    </row>
    <row r="53" spans="2:44" hidden="1" x14ac:dyDescent="0.2">
      <c r="B53" s="12"/>
      <c r="AR53" s="12"/>
    </row>
    <row r="54" spans="2:44" hidden="1" x14ac:dyDescent="0.2">
      <c r="B54" s="12"/>
      <c r="AR54" s="12"/>
    </row>
    <row r="55" spans="2:44" hidden="1" x14ac:dyDescent="0.2">
      <c r="B55" s="12"/>
      <c r="AR55" s="12"/>
    </row>
    <row r="56" spans="2:44" hidden="1" x14ac:dyDescent="0.2">
      <c r="B56" s="12"/>
      <c r="AR56" s="12"/>
    </row>
    <row r="57" spans="2:44" hidden="1" x14ac:dyDescent="0.2">
      <c r="B57" s="12"/>
      <c r="AR57" s="12"/>
    </row>
    <row r="58" spans="2:44" hidden="1" x14ac:dyDescent="0.2">
      <c r="B58" s="12"/>
      <c r="AR58" s="12"/>
    </row>
    <row r="59" spans="2:44" hidden="1" x14ac:dyDescent="0.2">
      <c r="B59" s="12"/>
      <c r="AR59" s="12"/>
    </row>
    <row r="60" spans="2:44" s="1" customFormat="1" ht="12.75" hidden="1" x14ac:dyDescent="0.2">
      <c r="B60" s="23"/>
      <c r="D60" s="33" t="s">
        <v>48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3" t="s">
        <v>49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3" t="s">
        <v>48</v>
      </c>
      <c r="AI60" s="25"/>
      <c r="AJ60" s="25"/>
      <c r="AK60" s="25"/>
      <c r="AL60" s="25"/>
      <c r="AM60" s="33" t="s">
        <v>49</v>
      </c>
      <c r="AN60" s="25"/>
      <c r="AO60" s="25"/>
      <c r="AR60" s="23"/>
    </row>
    <row r="61" spans="2:44" hidden="1" x14ac:dyDescent="0.2">
      <c r="B61" s="12"/>
      <c r="AR61" s="12"/>
    </row>
    <row r="62" spans="2:44" hidden="1" x14ac:dyDescent="0.2">
      <c r="B62" s="12"/>
      <c r="AR62" s="12"/>
    </row>
    <row r="63" spans="2:44" hidden="1" x14ac:dyDescent="0.2">
      <c r="B63" s="12"/>
      <c r="AR63" s="12"/>
    </row>
    <row r="64" spans="2:44" s="1" customFormat="1" ht="12.75" hidden="1" x14ac:dyDescent="0.2">
      <c r="B64" s="23"/>
      <c r="D64" s="31" t="s">
        <v>50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1" t="s">
        <v>51</v>
      </c>
      <c r="AI64" s="32"/>
      <c r="AJ64" s="32"/>
      <c r="AK64" s="32"/>
      <c r="AL64" s="32"/>
      <c r="AM64" s="32"/>
      <c r="AN64" s="32"/>
      <c r="AO64" s="32"/>
      <c r="AR64" s="23"/>
    </row>
    <row r="65" spans="2:44" hidden="1" x14ac:dyDescent="0.2">
      <c r="B65" s="12"/>
      <c r="AR65" s="12"/>
    </row>
    <row r="66" spans="2:44" hidden="1" x14ac:dyDescent="0.2">
      <c r="B66" s="12"/>
      <c r="AR66" s="12"/>
    </row>
    <row r="67" spans="2:44" hidden="1" x14ac:dyDescent="0.2">
      <c r="B67" s="12"/>
      <c r="AR67" s="12"/>
    </row>
    <row r="68" spans="2:44" hidden="1" x14ac:dyDescent="0.2">
      <c r="B68" s="12"/>
      <c r="AR68" s="12"/>
    </row>
    <row r="69" spans="2:44" hidden="1" x14ac:dyDescent="0.2">
      <c r="B69" s="12"/>
      <c r="AR69" s="12"/>
    </row>
    <row r="70" spans="2:44" hidden="1" x14ac:dyDescent="0.2">
      <c r="B70" s="12"/>
      <c r="AR70" s="12"/>
    </row>
    <row r="71" spans="2:44" hidden="1" x14ac:dyDescent="0.2">
      <c r="B71" s="12"/>
      <c r="AR71" s="12"/>
    </row>
    <row r="72" spans="2:44" hidden="1" x14ac:dyDescent="0.2">
      <c r="B72" s="12"/>
      <c r="AR72" s="12"/>
    </row>
    <row r="73" spans="2:44" hidden="1" x14ac:dyDescent="0.2">
      <c r="B73" s="12"/>
      <c r="AR73" s="12"/>
    </row>
    <row r="74" spans="2:44" hidden="1" x14ac:dyDescent="0.2">
      <c r="B74" s="12"/>
      <c r="AR74" s="12"/>
    </row>
    <row r="75" spans="2:44" s="1" customFormat="1" ht="12.75" hidden="1" x14ac:dyDescent="0.2">
      <c r="B75" s="23"/>
      <c r="D75" s="33" t="s">
        <v>48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33" t="s">
        <v>49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33" t="s">
        <v>48</v>
      </c>
      <c r="AI75" s="25"/>
      <c r="AJ75" s="25"/>
      <c r="AK75" s="25"/>
      <c r="AL75" s="25"/>
      <c r="AM75" s="33" t="s">
        <v>49</v>
      </c>
      <c r="AN75" s="25"/>
      <c r="AO75" s="25"/>
      <c r="AR75" s="23"/>
    </row>
    <row r="76" spans="2:44" s="1" customFormat="1" hidden="1" x14ac:dyDescent="0.2">
      <c r="B76" s="23"/>
      <c r="AR76" s="23"/>
    </row>
    <row r="77" spans="2:44" s="1" customFormat="1" ht="6.95" hidden="1" customHeight="1" x14ac:dyDescent="0.2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3"/>
    </row>
    <row r="78" spans="2:44" hidden="1" x14ac:dyDescent="0.2"/>
    <row r="81" spans="1:91" s="1" customFormat="1" ht="6.95" customHeight="1" x14ac:dyDescent="0.2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3"/>
    </row>
    <row r="82" spans="1:91" s="1" customFormat="1" ht="24.95" customHeight="1" x14ac:dyDescent="0.2">
      <c r="B82" s="23"/>
      <c r="C82" s="13" t="s">
        <v>52</v>
      </c>
      <c r="AR82" s="23"/>
    </row>
    <row r="83" spans="1:91" s="1" customFormat="1" ht="6.95" customHeight="1" x14ac:dyDescent="0.2">
      <c r="B83" s="23"/>
      <c r="AR83" s="23"/>
    </row>
    <row r="84" spans="1:91" s="3" customFormat="1" ht="12" customHeight="1" x14ac:dyDescent="0.2">
      <c r="B84" s="38"/>
      <c r="C84" s="19" t="s">
        <v>13</v>
      </c>
      <c r="L84" s="3" t="str">
        <f>K5</f>
        <v>31_2024</v>
      </c>
      <c r="AR84" s="38"/>
    </row>
    <row r="85" spans="1:91" s="4" customFormat="1" ht="36.950000000000003" customHeight="1" x14ac:dyDescent="0.2">
      <c r="B85" s="39"/>
      <c r="C85" s="40" t="s">
        <v>16</v>
      </c>
      <c r="L85" s="296" t="str">
        <f>K6</f>
        <v>Horky nad Jizerou - oprava vodovodu při stavbě KNL - II. etapa</v>
      </c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R85" s="39"/>
    </row>
    <row r="86" spans="1:91" s="1" customFormat="1" ht="6.95" customHeight="1" x14ac:dyDescent="0.2">
      <c r="B86" s="23"/>
      <c r="AR86" s="23"/>
    </row>
    <row r="87" spans="1:91" s="1" customFormat="1" ht="12" customHeight="1" x14ac:dyDescent="0.2">
      <c r="B87" s="23"/>
      <c r="C87" s="19" t="s">
        <v>20</v>
      </c>
      <c r="L87" s="41" t="str">
        <f>IF(K8="","",K8)</f>
        <v xml:space="preserve"> </v>
      </c>
      <c r="AI87" s="19" t="s">
        <v>22</v>
      </c>
      <c r="AM87" s="298" t="str">
        <f>IF(AN8= "","",AN8)</f>
        <v>4. 11. 2024</v>
      </c>
      <c r="AN87" s="298"/>
      <c r="AR87" s="23"/>
    </row>
    <row r="88" spans="1:91" s="1" customFormat="1" ht="6.95" customHeight="1" x14ac:dyDescent="0.2">
      <c r="B88" s="23"/>
      <c r="AR88" s="23"/>
    </row>
    <row r="89" spans="1:91" s="1" customFormat="1" ht="15.2" customHeight="1" x14ac:dyDescent="0.2">
      <c r="B89" s="23"/>
      <c r="C89" s="19" t="s">
        <v>24</v>
      </c>
      <c r="L89" s="3" t="str">
        <f>IF(E11= "","",E11)</f>
        <v xml:space="preserve"> </v>
      </c>
      <c r="AI89" s="19" t="s">
        <v>29</v>
      </c>
      <c r="AM89" s="275" t="str">
        <f>IF(E17="","",E17)</f>
        <v xml:space="preserve"> </v>
      </c>
      <c r="AN89" s="276"/>
      <c r="AO89" s="276"/>
      <c r="AP89" s="276"/>
      <c r="AR89" s="23"/>
      <c r="AS89" s="271" t="s">
        <v>53</v>
      </c>
      <c r="AT89" s="272"/>
      <c r="AU89" s="42"/>
      <c r="AV89" s="42"/>
      <c r="AW89" s="42"/>
      <c r="AX89" s="42"/>
      <c r="AY89" s="42"/>
      <c r="AZ89" s="42"/>
      <c r="BA89" s="42"/>
      <c r="BB89" s="42"/>
      <c r="BC89" s="42"/>
      <c r="BD89" s="43"/>
    </row>
    <row r="90" spans="1:91" s="1" customFormat="1" ht="15.2" customHeight="1" x14ac:dyDescent="0.2">
      <c r="B90" s="23"/>
      <c r="C90" s="19" t="s">
        <v>27</v>
      </c>
      <c r="L90" s="3" t="str">
        <f>IF(E14= "Vyplň údaj","",E14)</f>
        <v/>
      </c>
      <c r="AI90" s="19" t="s">
        <v>31</v>
      </c>
      <c r="AM90" s="275" t="str">
        <f>IF(E20="","",E20)</f>
        <v xml:space="preserve"> </v>
      </c>
      <c r="AN90" s="276"/>
      <c r="AO90" s="276"/>
      <c r="AP90" s="276"/>
      <c r="AR90" s="23"/>
      <c r="AS90" s="273"/>
      <c r="AT90" s="274"/>
      <c r="BD90" s="44"/>
    </row>
    <row r="91" spans="1:91" s="1" customFormat="1" ht="10.9" customHeight="1" x14ac:dyDescent="0.2">
      <c r="B91" s="23"/>
      <c r="AR91" s="23"/>
      <c r="AS91" s="273"/>
      <c r="AT91" s="274"/>
      <c r="BD91" s="44"/>
    </row>
    <row r="92" spans="1:91" s="1" customFormat="1" ht="29.25" customHeight="1" x14ac:dyDescent="0.2">
      <c r="B92" s="23"/>
      <c r="C92" s="280" t="s">
        <v>54</v>
      </c>
      <c r="D92" s="281"/>
      <c r="E92" s="281"/>
      <c r="F92" s="281"/>
      <c r="G92" s="281"/>
      <c r="H92" s="86"/>
      <c r="I92" s="283" t="s">
        <v>55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2" t="s">
        <v>56</v>
      </c>
      <c r="AH92" s="281"/>
      <c r="AI92" s="281"/>
      <c r="AJ92" s="281"/>
      <c r="AK92" s="281"/>
      <c r="AL92" s="281"/>
      <c r="AM92" s="281"/>
      <c r="AN92" s="283"/>
      <c r="AO92" s="281"/>
      <c r="AP92" s="295"/>
      <c r="AQ92" s="45" t="s">
        <v>57</v>
      </c>
      <c r="AR92" s="23"/>
      <c r="AS92" s="46" t="s">
        <v>58</v>
      </c>
      <c r="AT92" s="47" t="s">
        <v>59</v>
      </c>
      <c r="AU92" s="47" t="s">
        <v>60</v>
      </c>
      <c r="AV92" s="47" t="s">
        <v>61</v>
      </c>
      <c r="AW92" s="47" t="s">
        <v>62</v>
      </c>
      <c r="AX92" s="47" t="s">
        <v>63</v>
      </c>
      <c r="AY92" s="47" t="s">
        <v>64</v>
      </c>
      <c r="AZ92" s="47" t="s">
        <v>65</v>
      </c>
      <c r="BA92" s="47" t="s">
        <v>66</v>
      </c>
      <c r="BB92" s="47" t="s">
        <v>67</v>
      </c>
      <c r="BC92" s="47" t="s">
        <v>68</v>
      </c>
      <c r="BD92" s="48" t="s">
        <v>69</v>
      </c>
    </row>
    <row r="93" spans="1:91" s="1" customFormat="1" ht="10.9" customHeight="1" x14ac:dyDescent="0.2">
      <c r="B93" s="23"/>
      <c r="AR93" s="23"/>
      <c r="AS93" s="49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3"/>
    </row>
    <row r="94" spans="1:91" s="5" customFormat="1" ht="32.450000000000003" customHeight="1" x14ac:dyDescent="0.2">
      <c r="B94" s="50"/>
      <c r="C94" s="51" t="s">
        <v>70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284">
        <f>ROUND(AG95+AG96+AG97+AG99,2)</f>
        <v>0</v>
      </c>
      <c r="AH94" s="284"/>
      <c r="AI94" s="284"/>
      <c r="AJ94" s="284"/>
      <c r="AK94" s="284"/>
      <c r="AL94" s="284"/>
      <c r="AM94" s="284"/>
      <c r="AN94" s="285"/>
      <c r="AO94" s="285"/>
      <c r="AP94" s="285"/>
      <c r="AQ94" s="53" t="s">
        <v>1</v>
      </c>
      <c r="AR94" s="50"/>
      <c r="AS94" s="54">
        <f>ROUND(AS95+AS96+AS97+AS99,2)</f>
        <v>0</v>
      </c>
      <c r="AT94" s="55">
        <f t="shared" ref="AT94:AT99" si="0">ROUND(SUM(AV94:AW94),2)</f>
        <v>0</v>
      </c>
      <c r="AU94" s="56" t="e">
        <f>ROUND(AU95+AU96+AU97+AU99,5)</f>
        <v>#REF!</v>
      </c>
      <c r="AV94" s="55">
        <f>ROUND(AZ94*L29,2)</f>
        <v>0</v>
      </c>
      <c r="AW94" s="55">
        <f>ROUND(BA94*L30,2)</f>
        <v>0</v>
      </c>
      <c r="AX94" s="55">
        <f>ROUND(BB94*L29,2)</f>
        <v>0</v>
      </c>
      <c r="AY94" s="55">
        <f>ROUND(BC94*L30,2)</f>
        <v>0</v>
      </c>
      <c r="AZ94" s="55">
        <f>ROUND(AZ95+AZ96+AZ97+AZ99,2)</f>
        <v>0</v>
      </c>
      <c r="BA94" s="55">
        <f>ROUND(BA95+BA96+BA97+BA99,2)</f>
        <v>0</v>
      </c>
      <c r="BB94" s="55">
        <f>ROUND(BB95+BB96+BB97+BB99,2)</f>
        <v>0</v>
      </c>
      <c r="BC94" s="55">
        <f>ROUND(BC95+BC96+BC97+BC99,2)</f>
        <v>0</v>
      </c>
      <c r="BD94" s="57">
        <f>ROUND(BD95+BD96+BD97+BD99,2)</f>
        <v>0</v>
      </c>
      <c r="BS94" s="58" t="s">
        <v>71</v>
      </c>
      <c r="BT94" s="58" t="s">
        <v>72</v>
      </c>
      <c r="BU94" s="59" t="s">
        <v>73</v>
      </c>
      <c r="BV94" s="58" t="s">
        <v>74</v>
      </c>
      <c r="BW94" s="58" t="s">
        <v>4</v>
      </c>
      <c r="BX94" s="58" t="s">
        <v>75</v>
      </c>
      <c r="CL94" s="58" t="s">
        <v>1</v>
      </c>
    </row>
    <row r="95" spans="1:91" s="6" customFormat="1" ht="16.5" customHeight="1" x14ac:dyDescent="0.2">
      <c r="A95" s="60" t="s">
        <v>76</v>
      </c>
      <c r="B95" s="61"/>
      <c r="C95" s="62"/>
      <c r="D95" s="277" t="s">
        <v>77</v>
      </c>
      <c r="E95" s="277"/>
      <c r="F95" s="277"/>
      <c r="G95" s="277"/>
      <c r="H95" s="277"/>
      <c r="I95" s="63"/>
      <c r="J95" s="277" t="s">
        <v>78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9">
        <f>'01 - SO 01 Vodovod'!J96</f>
        <v>0</v>
      </c>
      <c r="AH95" s="279"/>
      <c r="AI95" s="279"/>
      <c r="AJ95" s="279"/>
      <c r="AK95" s="279"/>
      <c r="AL95" s="279"/>
      <c r="AM95" s="279"/>
      <c r="AN95" s="290"/>
      <c r="AO95" s="291"/>
      <c r="AP95" s="291"/>
      <c r="AQ95" s="64" t="s">
        <v>79</v>
      </c>
      <c r="AR95" s="61"/>
      <c r="AS95" s="65">
        <v>0</v>
      </c>
      <c r="AT95" s="66">
        <f t="shared" si="0"/>
        <v>0</v>
      </c>
      <c r="AU95" s="67" t="e">
        <f>'01 - SO 01 Vodovod'!P124</f>
        <v>#REF!</v>
      </c>
      <c r="AV95" s="66">
        <f>'01 - SO 01 Vodovod'!J33</f>
        <v>0</v>
      </c>
      <c r="AW95" s="66">
        <f>'01 - SO 01 Vodovod'!J34</f>
        <v>0</v>
      </c>
      <c r="AX95" s="66">
        <f>'01 - SO 01 Vodovod'!J35</f>
        <v>0</v>
      </c>
      <c r="AY95" s="66">
        <f>'01 - SO 01 Vodovod'!J36</f>
        <v>0</v>
      </c>
      <c r="AZ95" s="66">
        <f>'01 - SO 01 Vodovod'!F33</f>
        <v>0</v>
      </c>
      <c r="BA95" s="66">
        <f>'01 - SO 01 Vodovod'!F34</f>
        <v>0</v>
      </c>
      <c r="BB95" s="66">
        <f>'01 - SO 01 Vodovod'!F35</f>
        <v>0</v>
      </c>
      <c r="BC95" s="66">
        <f>'01 - SO 01 Vodovod'!F36</f>
        <v>0</v>
      </c>
      <c r="BD95" s="68">
        <f>'01 - SO 01 Vodovod'!F37</f>
        <v>0</v>
      </c>
      <c r="BT95" s="69" t="s">
        <v>80</v>
      </c>
      <c r="BV95" s="69" t="s">
        <v>74</v>
      </c>
      <c r="BW95" s="69" t="s">
        <v>81</v>
      </c>
      <c r="BX95" s="69" t="s">
        <v>4</v>
      </c>
      <c r="CL95" s="69" t="s">
        <v>1</v>
      </c>
      <c r="CM95" s="69" t="s">
        <v>82</v>
      </c>
    </row>
    <row r="96" spans="1:91" s="6" customFormat="1" ht="16.5" customHeight="1" x14ac:dyDescent="0.2">
      <c r="A96" s="60" t="s">
        <v>76</v>
      </c>
      <c r="B96" s="61"/>
      <c r="C96" s="62"/>
      <c r="D96" s="277" t="s">
        <v>83</v>
      </c>
      <c r="E96" s="277"/>
      <c r="F96" s="277"/>
      <c r="G96" s="277"/>
      <c r="H96" s="277"/>
      <c r="I96" s="63"/>
      <c r="J96" s="277" t="s">
        <v>84</v>
      </c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9">
        <f>'01.1 - SO 01.1 Vodovodní ...'!J96</f>
        <v>0</v>
      </c>
      <c r="AH96" s="279"/>
      <c r="AI96" s="279"/>
      <c r="AJ96" s="279"/>
      <c r="AK96" s="279"/>
      <c r="AL96" s="279"/>
      <c r="AM96" s="279"/>
      <c r="AN96" s="290"/>
      <c r="AO96" s="291"/>
      <c r="AP96" s="291"/>
      <c r="AQ96" s="64" t="s">
        <v>79</v>
      </c>
      <c r="AR96" s="61"/>
      <c r="AS96" s="65">
        <v>0</v>
      </c>
      <c r="AT96" s="66">
        <f t="shared" si="0"/>
        <v>0</v>
      </c>
      <c r="AU96" s="67">
        <f>'01.1 - SO 01.1 Vodovodní ...'!P126</f>
        <v>0</v>
      </c>
      <c r="AV96" s="66">
        <f>'01.1 - SO 01.1 Vodovodní ...'!J33</f>
        <v>0</v>
      </c>
      <c r="AW96" s="66">
        <f>'01.1 - SO 01.1 Vodovodní ...'!J34</f>
        <v>0</v>
      </c>
      <c r="AX96" s="66">
        <f>'01.1 - SO 01.1 Vodovodní ...'!J35</f>
        <v>0</v>
      </c>
      <c r="AY96" s="66">
        <f>'01.1 - SO 01.1 Vodovodní ...'!J36</f>
        <v>0</v>
      </c>
      <c r="AZ96" s="66">
        <f>'01.1 - SO 01.1 Vodovodní ...'!F33</f>
        <v>0</v>
      </c>
      <c r="BA96" s="66">
        <f>'01.1 - SO 01.1 Vodovodní ...'!F34</f>
        <v>0</v>
      </c>
      <c r="BB96" s="66">
        <f>'01.1 - SO 01.1 Vodovodní ...'!F35</f>
        <v>0</v>
      </c>
      <c r="BC96" s="66">
        <f>'01.1 - SO 01.1 Vodovodní ...'!F36</f>
        <v>0</v>
      </c>
      <c r="BD96" s="68">
        <f>'01.1 - SO 01.1 Vodovodní ...'!F37</f>
        <v>0</v>
      </c>
      <c r="BT96" s="69" t="s">
        <v>80</v>
      </c>
      <c r="BV96" s="69" t="s">
        <v>74</v>
      </c>
      <c r="BW96" s="69" t="s">
        <v>85</v>
      </c>
      <c r="BX96" s="69" t="s">
        <v>4</v>
      </c>
      <c r="CL96" s="69" t="s">
        <v>1</v>
      </c>
      <c r="CM96" s="69" t="s">
        <v>82</v>
      </c>
    </row>
    <row r="97" spans="1:91" s="6" customFormat="1" ht="24.75" customHeight="1" x14ac:dyDescent="0.2">
      <c r="B97" s="61"/>
      <c r="C97" s="62"/>
      <c r="D97" s="277" t="s">
        <v>86</v>
      </c>
      <c r="E97" s="277"/>
      <c r="F97" s="277"/>
      <c r="G97" s="277"/>
      <c r="H97" s="277"/>
      <c r="I97" s="63"/>
      <c r="J97" s="277" t="s">
        <v>87</v>
      </c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8">
        <f>ROUND(SUM(AG98:AG98),2)</f>
        <v>0</v>
      </c>
      <c r="AH97" s="279"/>
      <c r="AI97" s="279"/>
      <c r="AJ97" s="279"/>
      <c r="AK97" s="279"/>
      <c r="AL97" s="279"/>
      <c r="AM97" s="279"/>
      <c r="AN97" s="290"/>
      <c r="AO97" s="291"/>
      <c r="AP97" s="291"/>
      <c r="AQ97" s="64" t="s">
        <v>79</v>
      </c>
      <c r="AR97" s="61"/>
      <c r="AS97" s="65">
        <f>ROUND(SUM(AS98:AS98),2)</f>
        <v>0</v>
      </c>
      <c r="AT97" s="66">
        <f t="shared" si="0"/>
        <v>0</v>
      </c>
      <c r="AU97" s="67" t="e">
        <f>ROUND(SUM(AU98:AU98),5)</f>
        <v>#REF!</v>
      </c>
      <c r="AV97" s="66">
        <f>ROUND(AZ97*L29,2)</f>
        <v>0</v>
      </c>
      <c r="AW97" s="66">
        <f>ROUND(BA97*L30,2)</f>
        <v>0</v>
      </c>
      <c r="AX97" s="66">
        <f>ROUND(BB97*L29,2)</f>
        <v>0</v>
      </c>
      <c r="AY97" s="66">
        <f>ROUND(BC97*L30,2)</f>
        <v>0</v>
      </c>
      <c r="AZ97" s="66">
        <f>ROUND(SUM(AZ98:AZ98),2)</f>
        <v>0</v>
      </c>
      <c r="BA97" s="66">
        <f>ROUND(SUM(BA98:BA98),2)</f>
        <v>0</v>
      </c>
      <c r="BB97" s="66">
        <f>ROUND(SUM(BB98:BB98),2)</f>
        <v>0</v>
      </c>
      <c r="BC97" s="66">
        <f>ROUND(SUM(BC98:BC98),2)</f>
        <v>0</v>
      </c>
      <c r="BD97" s="68">
        <f>ROUND(SUM(BD98:BD98),2)</f>
        <v>0</v>
      </c>
      <c r="BS97" s="69" t="s">
        <v>71</v>
      </c>
      <c r="BT97" s="69" t="s">
        <v>80</v>
      </c>
      <c r="BU97" s="69" t="s">
        <v>73</v>
      </c>
      <c r="BV97" s="69" t="s">
        <v>74</v>
      </c>
      <c r="BW97" s="69" t="s">
        <v>88</v>
      </c>
      <c r="BX97" s="69" t="s">
        <v>4</v>
      </c>
      <c r="CL97" s="69" t="s">
        <v>1</v>
      </c>
      <c r="CM97" s="69" t="s">
        <v>82</v>
      </c>
    </row>
    <row r="98" spans="1:91" s="3" customFormat="1" ht="16.5" customHeight="1" x14ac:dyDescent="0.2">
      <c r="A98" s="60" t="s">
        <v>76</v>
      </c>
      <c r="B98" s="38"/>
      <c r="C98" s="7"/>
      <c r="D98" s="7"/>
      <c r="E98" s="289" t="s">
        <v>90</v>
      </c>
      <c r="F98" s="289"/>
      <c r="G98" s="289"/>
      <c r="H98" s="289"/>
      <c r="I98" s="289"/>
      <c r="J98" s="7"/>
      <c r="K98" s="289" t="s">
        <v>91</v>
      </c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88">
        <f>'02.2 - SO 02.2 Přeložky p...'!J98</f>
        <v>0</v>
      </c>
      <c r="AH98" s="288"/>
      <c r="AI98" s="288"/>
      <c r="AJ98" s="288"/>
      <c r="AK98" s="288"/>
      <c r="AL98" s="288"/>
      <c r="AM98" s="288"/>
      <c r="AN98" s="286"/>
      <c r="AO98" s="287"/>
      <c r="AP98" s="287"/>
      <c r="AQ98" s="70" t="s">
        <v>89</v>
      </c>
      <c r="AR98" s="38"/>
      <c r="AS98" s="71">
        <v>0</v>
      </c>
      <c r="AT98" s="72">
        <f t="shared" si="0"/>
        <v>0</v>
      </c>
      <c r="AU98" s="73" t="e">
        <f>'02.2 - SO 02.2 Přeložky p...'!P130</f>
        <v>#REF!</v>
      </c>
      <c r="AV98" s="72">
        <f>'02.2 - SO 02.2 Přeložky p...'!J35</f>
        <v>0</v>
      </c>
      <c r="AW98" s="72">
        <f>'02.2 - SO 02.2 Přeložky p...'!J36</f>
        <v>0</v>
      </c>
      <c r="AX98" s="72">
        <f>'02.2 - SO 02.2 Přeložky p...'!J37</f>
        <v>0</v>
      </c>
      <c r="AY98" s="72">
        <f>'02.2 - SO 02.2 Přeložky p...'!J38</f>
        <v>0</v>
      </c>
      <c r="AZ98" s="72">
        <f>'02.2 - SO 02.2 Přeložky p...'!F35</f>
        <v>0</v>
      </c>
      <c r="BA98" s="72">
        <f>'02.2 - SO 02.2 Přeložky p...'!F36</f>
        <v>0</v>
      </c>
      <c r="BB98" s="72">
        <f>'02.2 - SO 02.2 Přeložky p...'!F37</f>
        <v>0</v>
      </c>
      <c r="BC98" s="72">
        <f>'02.2 - SO 02.2 Přeložky p...'!F38</f>
        <v>0</v>
      </c>
      <c r="BD98" s="74">
        <f>'02.2 - SO 02.2 Přeložky p...'!F39</f>
        <v>0</v>
      </c>
      <c r="BT98" s="17" t="s">
        <v>82</v>
      </c>
      <c r="BV98" s="17" t="s">
        <v>74</v>
      </c>
      <c r="BW98" s="17" t="s">
        <v>92</v>
      </c>
      <c r="BX98" s="17" t="s">
        <v>88</v>
      </c>
      <c r="CL98" s="17" t="s">
        <v>1</v>
      </c>
    </row>
    <row r="99" spans="1:91" s="6" customFormat="1" ht="16.5" customHeight="1" x14ac:dyDescent="0.2">
      <c r="A99" s="60" t="s">
        <v>76</v>
      </c>
      <c r="B99" s="61"/>
      <c r="C99" s="62"/>
      <c r="D99" s="277" t="s">
        <v>93</v>
      </c>
      <c r="E99" s="277"/>
      <c r="F99" s="277"/>
      <c r="G99" s="277"/>
      <c r="H99" s="277"/>
      <c r="I99" s="63"/>
      <c r="J99" s="277" t="s">
        <v>1080</v>
      </c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9">
        <f>'901 - VON'!J96</f>
        <v>0</v>
      </c>
      <c r="AH99" s="279"/>
      <c r="AI99" s="279"/>
      <c r="AJ99" s="279"/>
      <c r="AK99" s="279"/>
      <c r="AL99" s="279"/>
      <c r="AM99" s="279"/>
      <c r="AN99" s="290"/>
      <c r="AO99" s="291"/>
      <c r="AP99" s="291"/>
      <c r="AQ99" s="64" t="s">
        <v>94</v>
      </c>
      <c r="AR99" s="61"/>
      <c r="AS99" s="75">
        <v>0</v>
      </c>
      <c r="AT99" s="76">
        <f t="shared" si="0"/>
        <v>0</v>
      </c>
      <c r="AU99" s="77">
        <f>'901 - VON'!P117</f>
        <v>0</v>
      </c>
      <c r="AV99" s="76">
        <f>'901 - VON'!J33</f>
        <v>0</v>
      </c>
      <c r="AW99" s="76">
        <f>'901 - VON'!J34</f>
        <v>0</v>
      </c>
      <c r="AX99" s="76">
        <f>'901 - VON'!J35</f>
        <v>0</v>
      </c>
      <c r="AY99" s="76">
        <f>'901 - VON'!J36</f>
        <v>0</v>
      </c>
      <c r="AZ99" s="76">
        <f>'901 - VON'!F33</f>
        <v>0</v>
      </c>
      <c r="BA99" s="76">
        <f>'901 - VON'!F34</f>
        <v>0</v>
      </c>
      <c r="BB99" s="76">
        <f>'901 - VON'!F35</f>
        <v>0</v>
      </c>
      <c r="BC99" s="76">
        <f>'901 - VON'!F36</f>
        <v>0</v>
      </c>
      <c r="BD99" s="78">
        <f>'901 - VON'!F37</f>
        <v>0</v>
      </c>
      <c r="BT99" s="69" t="s">
        <v>80</v>
      </c>
      <c r="BV99" s="69" t="s">
        <v>74</v>
      </c>
      <c r="BW99" s="69" t="s">
        <v>95</v>
      </c>
      <c r="BX99" s="69" t="s">
        <v>4</v>
      </c>
      <c r="CL99" s="69" t="s">
        <v>1</v>
      </c>
      <c r="CM99" s="69" t="s">
        <v>82</v>
      </c>
    </row>
    <row r="100" spans="1:91" s="1" customFormat="1" ht="30" customHeight="1" x14ac:dyDescent="0.2">
      <c r="B100" s="23"/>
      <c r="AR100" s="23"/>
    </row>
    <row r="101" spans="1:91" s="1" customFormat="1" ht="6.95" customHeight="1" x14ac:dyDescent="0.2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23"/>
    </row>
  </sheetData>
  <sheetProtection password="C9A1" sheet="1" objects="1" scenarios="1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9:AP99"/>
    <mergeCell ref="AG99:AM99"/>
    <mergeCell ref="AN97:AP97"/>
    <mergeCell ref="AN92:AP92"/>
    <mergeCell ref="AN95:AP95"/>
    <mergeCell ref="L85:AJ85"/>
    <mergeCell ref="AM87:AN87"/>
    <mergeCell ref="AM89:AP89"/>
    <mergeCell ref="D99:H99"/>
    <mergeCell ref="J99:AF99"/>
    <mergeCell ref="AG94:AM94"/>
    <mergeCell ref="AN94:AP94"/>
    <mergeCell ref="AN98:AP98"/>
    <mergeCell ref="AG98:AM98"/>
    <mergeCell ref="E98:I98"/>
    <mergeCell ref="K98:AF98"/>
    <mergeCell ref="J96:AF96"/>
    <mergeCell ref="D96:H96"/>
    <mergeCell ref="AG96:AM96"/>
    <mergeCell ref="AN96:AP96"/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</mergeCells>
  <hyperlinks>
    <hyperlink ref="A95" location="'01 - SO 01 Vodovod'!C2" display="/" xr:uid="{00000000-0004-0000-0000-000000000000}"/>
    <hyperlink ref="A96" location="'01.1 - SO 01.1 Vodovodní ...'!C2" display="/" xr:uid="{00000000-0004-0000-0000-000001000000}"/>
    <hyperlink ref="A98" location="'02.2 - SO 02.2 Přeložky p...'!C2" display="/" xr:uid="{00000000-0004-0000-0000-000003000000}"/>
    <hyperlink ref="A99" location="'901 - VON'!C2" display="/" xr:uid="{00000000-0004-0000-0000-000004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FD514"/>
  <sheetViews>
    <sheetView showGridLines="0" topLeftCell="A93" workbookViewId="0">
      <selection activeCell="I127" sqref="I127"/>
    </sheetView>
  </sheetViews>
  <sheetFormatPr defaultRowHeight="11.25" x14ac:dyDescent="0.2"/>
  <cols>
    <col min="1" max="1" width="8.33203125" style="88" customWidth="1"/>
    <col min="2" max="2" width="1.1640625" style="88" customWidth="1"/>
    <col min="3" max="3" width="6.83203125" style="88" customWidth="1"/>
    <col min="4" max="4" width="4.33203125" style="88" customWidth="1"/>
    <col min="5" max="5" width="17.1640625" style="88" customWidth="1"/>
    <col min="6" max="6" width="50.83203125" style="88" customWidth="1"/>
    <col min="7" max="7" width="7.5" style="88" customWidth="1"/>
    <col min="8" max="8" width="14" style="88" customWidth="1"/>
    <col min="9" max="9" width="15.83203125" style="88" customWidth="1"/>
    <col min="10" max="10" width="22.33203125" style="88" customWidth="1"/>
    <col min="11" max="11" width="22.33203125" style="88" hidden="1" customWidth="1"/>
    <col min="12" max="12" width="15.5" style="89" customWidth="1"/>
    <col min="13" max="13" width="10.83203125" style="88" hidden="1" customWidth="1"/>
    <col min="14" max="14" width="0" style="88" hidden="1" customWidth="1"/>
    <col min="15" max="16" width="14.1640625" style="88" hidden="1" customWidth="1"/>
    <col min="17" max="20" width="14.1640625" style="88" customWidth="1"/>
    <col min="21" max="21" width="16.33203125" style="88" customWidth="1"/>
    <col min="22" max="22" width="12.33203125" style="88" customWidth="1"/>
    <col min="23" max="23" width="16.33203125" style="88" customWidth="1"/>
    <col min="24" max="24" width="12.33203125" style="88" customWidth="1"/>
    <col min="25" max="25" width="15" style="88" customWidth="1"/>
    <col min="26" max="26" width="11" style="88" customWidth="1"/>
    <col min="27" max="27" width="15" style="88" customWidth="1"/>
    <col min="28" max="28" width="16.33203125" style="88" customWidth="1"/>
    <col min="29" max="29" width="11" style="88" customWidth="1"/>
    <col min="30" max="30" width="15" style="88" customWidth="1"/>
    <col min="31" max="31" width="16.33203125" style="88" customWidth="1"/>
    <col min="32" max="43" width="9.33203125" style="88"/>
    <col min="44" max="65" width="9.33203125" style="88" hidden="1"/>
    <col min="66" max="16384" width="9.33203125" style="88"/>
  </cols>
  <sheetData>
    <row r="1" spans="2:46" hidden="1" x14ac:dyDescent="0.2"/>
    <row r="2" spans="2:46" ht="36.950000000000003" hidden="1" customHeight="1" x14ac:dyDescent="0.2">
      <c r="L2" s="320" t="s">
        <v>5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90" t="s">
        <v>81</v>
      </c>
    </row>
    <row r="3" spans="2:46" ht="6.95" hidden="1" customHeight="1" x14ac:dyDescent="0.2">
      <c r="B3" s="91"/>
      <c r="C3" s="92"/>
      <c r="D3" s="92"/>
      <c r="E3" s="92"/>
      <c r="F3" s="92"/>
      <c r="G3" s="92"/>
      <c r="H3" s="92"/>
      <c r="I3" s="92"/>
      <c r="J3" s="92"/>
      <c r="K3" s="92"/>
      <c r="L3" s="93"/>
      <c r="AT3" s="90" t="s">
        <v>82</v>
      </c>
    </row>
    <row r="4" spans="2:46" ht="24.95" hidden="1" customHeight="1" x14ac:dyDescent="0.2">
      <c r="B4" s="94"/>
      <c r="D4" s="95" t="s">
        <v>96</v>
      </c>
      <c r="L4" s="93"/>
      <c r="M4" s="96" t="s">
        <v>10</v>
      </c>
      <c r="AT4" s="90" t="s">
        <v>3</v>
      </c>
    </row>
    <row r="5" spans="2:46" ht="6.95" hidden="1" customHeight="1" x14ac:dyDescent="0.2">
      <c r="B5" s="94"/>
      <c r="L5" s="93"/>
    </row>
    <row r="6" spans="2:46" ht="12" hidden="1" customHeight="1" x14ac:dyDescent="0.2">
      <c r="B6" s="94"/>
      <c r="D6" s="97" t="s">
        <v>16</v>
      </c>
      <c r="L6" s="93"/>
    </row>
    <row r="7" spans="2:46" ht="16.5" hidden="1" customHeight="1" x14ac:dyDescent="0.2">
      <c r="B7" s="94"/>
      <c r="E7" s="318" t="str">
        <f>'Rekapitulace stavby'!K6</f>
        <v>Horky nad Jizerou - oprava vodovodu při stavbě KNL - II. etapa</v>
      </c>
      <c r="F7" s="319"/>
      <c r="G7" s="319"/>
      <c r="H7" s="319"/>
      <c r="L7" s="93"/>
    </row>
    <row r="8" spans="2:46" s="99" customFormat="1" ht="12" hidden="1" customHeight="1" x14ac:dyDescent="0.2">
      <c r="B8" s="98"/>
      <c r="D8" s="97" t="s">
        <v>97</v>
      </c>
      <c r="L8" s="100"/>
    </row>
    <row r="9" spans="2:46" s="99" customFormat="1" ht="16.5" hidden="1" customHeight="1" x14ac:dyDescent="0.2">
      <c r="B9" s="98"/>
      <c r="E9" s="316" t="s">
        <v>98</v>
      </c>
      <c r="F9" s="317"/>
      <c r="G9" s="317"/>
      <c r="H9" s="317"/>
      <c r="L9" s="100"/>
    </row>
    <row r="10" spans="2:46" s="99" customFormat="1" hidden="1" x14ac:dyDescent="0.2">
      <c r="B10" s="98"/>
      <c r="L10" s="100"/>
    </row>
    <row r="11" spans="2:46" s="99" customFormat="1" ht="12" hidden="1" customHeight="1" x14ac:dyDescent="0.2">
      <c r="B11" s="98"/>
      <c r="D11" s="97" t="s">
        <v>18</v>
      </c>
      <c r="F11" s="102" t="s">
        <v>1</v>
      </c>
      <c r="I11" s="97" t="s">
        <v>19</v>
      </c>
      <c r="J11" s="102" t="s">
        <v>1</v>
      </c>
      <c r="L11" s="100"/>
    </row>
    <row r="12" spans="2:46" s="99" customFormat="1" ht="12" hidden="1" customHeight="1" x14ac:dyDescent="0.2">
      <c r="B12" s="98"/>
      <c r="D12" s="97" t="s">
        <v>20</v>
      </c>
      <c r="F12" s="102" t="s">
        <v>21</v>
      </c>
      <c r="I12" s="97" t="s">
        <v>22</v>
      </c>
      <c r="J12" s="103" t="str">
        <f>'Rekapitulace stavby'!AN8</f>
        <v>4. 11. 2024</v>
      </c>
      <c r="L12" s="100"/>
    </row>
    <row r="13" spans="2:46" s="99" customFormat="1" ht="10.9" hidden="1" customHeight="1" x14ac:dyDescent="0.2">
      <c r="B13" s="98"/>
      <c r="L13" s="100"/>
    </row>
    <row r="14" spans="2:46" s="99" customFormat="1" ht="12" hidden="1" customHeight="1" x14ac:dyDescent="0.2">
      <c r="B14" s="98"/>
      <c r="D14" s="97" t="s">
        <v>24</v>
      </c>
      <c r="I14" s="97" t="s">
        <v>25</v>
      </c>
      <c r="J14" s="102" t="str">
        <f>IF('Rekapitulace stavby'!AN10="","",'Rekapitulace stavby'!AN10)</f>
        <v/>
      </c>
      <c r="L14" s="100"/>
    </row>
    <row r="15" spans="2:46" s="99" customFormat="1" ht="18" hidden="1" customHeight="1" x14ac:dyDescent="0.2">
      <c r="B15" s="98"/>
      <c r="E15" s="102" t="str">
        <f>IF('Rekapitulace stavby'!E11="","",'Rekapitulace stavby'!E11)</f>
        <v xml:space="preserve"> </v>
      </c>
      <c r="I15" s="97" t="s">
        <v>26</v>
      </c>
      <c r="J15" s="102" t="str">
        <f>IF('Rekapitulace stavby'!AN11="","",'Rekapitulace stavby'!AN11)</f>
        <v/>
      </c>
      <c r="L15" s="100"/>
    </row>
    <row r="16" spans="2:46" s="99" customFormat="1" ht="6.95" hidden="1" customHeight="1" x14ac:dyDescent="0.2">
      <c r="B16" s="98"/>
      <c r="L16" s="100"/>
    </row>
    <row r="17" spans="2:12" s="99" customFormat="1" ht="12" hidden="1" customHeight="1" x14ac:dyDescent="0.2">
      <c r="B17" s="98"/>
      <c r="D17" s="97" t="s">
        <v>27</v>
      </c>
      <c r="I17" s="97" t="s">
        <v>25</v>
      </c>
      <c r="J17" s="104" t="str">
        <f>'Rekapitulace stavby'!AN13</f>
        <v>Vyplň údaj</v>
      </c>
      <c r="L17" s="100"/>
    </row>
    <row r="18" spans="2:12" s="99" customFormat="1" ht="18" hidden="1" customHeight="1" x14ac:dyDescent="0.2">
      <c r="B18" s="98"/>
      <c r="E18" s="322" t="str">
        <f>'Rekapitulace stavby'!E14</f>
        <v>Vyplň údaj</v>
      </c>
      <c r="F18" s="323"/>
      <c r="G18" s="323"/>
      <c r="H18" s="323"/>
      <c r="I18" s="97" t="s">
        <v>26</v>
      </c>
      <c r="J18" s="104" t="str">
        <f>'Rekapitulace stavby'!AN14</f>
        <v>Vyplň údaj</v>
      </c>
      <c r="L18" s="100"/>
    </row>
    <row r="19" spans="2:12" s="99" customFormat="1" ht="6.95" hidden="1" customHeight="1" x14ac:dyDescent="0.2">
      <c r="B19" s="98"/>
      <c r="L19" s="100"/>
    </row>
    <row r="20" spans="2:12" s="99" customFormat="1" ht="12" hidden="1" customHeight="1" x14ac:dyDescent="0.2">
      <c r="B20" s="98"/>
      <c r="D20" s="97" t="s">
        <v>29</v>
      </c>
      <c r="I20" s="97" t="s">
        <v>25</v>
      </c>
      <c r="J20" s="102" t="str">
        <f>IF('Rekapitulace stavby'!AN16="","",'Rekapitulace stavby'!AN16)</f>
        <v/>
      </c>
      <c r="L20" s="100"/>
    </row>
    <row r="21" spans="2:12" s="99" customFormat="1" ht="18" hidden="1" customHeight="1" x14ac:dyDescent="0.2">
      <c r="B21" s="98"/>
      <c r="E21" s="102" t="str">
        <f>IF('Rekapitulace stavby'!E17="","",'Rekapitulace stavby'!E17)</f>
        <v xml:space="preserve"> </v>
      </c>
      <c r="I21" s="97" t="s">
        <v>26</v>
      </c>
      <c r="J21" s="102" t="str">
        <f>IF('Rekapitulace stavby'!AN17="","",'Rekapitulace stavby'!AN17)</f>
        <v/>
      </c>
      <c r="L21" s="100"/>
    </row>
    <row r="22" spans="2:12" s="99" customFormat="1" ht="6.95" hidden="1" customHeight="1" x14ac:dyDescent="0.2">
      <c r="B22" s="98"/>
      <c r="L22" s="100"/>
    </row>
    <row r="23" spans="2:12" s="99" customFormat="1" ht="12" hidden="1" customHeight="1" x14ac:dyDescent="0.2">
      <c r="B23" s="98"/>
      <c r="D23" s="97" t="s">
        <v>31</v>
      </c>
      <c r="I23" s="97" t="s">
        <v>25</v>
      </c>
      <c r="J23" s="102" t="str">
        <f>IF('Rekapitulace stavby'!AN19="","",'Rekapitulace stavby'!AN19)</f>
        <v/>
      </c>
      <c r="L23" s="100"/>
    </row>
    <row r="24" spans="2:12" s="99" customFormat="1" ht="18" hidden="1" customHeight="1" x14ac:dyDescent="0.2">
      <c r="B24" s="98"/>
      <c r="E24" s="102" t="str">
        <f>IF('Rekapitulace stavby'!E20="","",'Rekapitulace stavby'!E20)</f>
        <v xml:space="preserve"> </v>
      </c>
      <c r="I24" s="97" t="s">
        <v>26</v>
      </c>
      <c r="J24" s="102" t="str">
        <f>IF('Rekapitulace stavby'!AN20="","",'Rekapitulace stavby'!AN20)</f>
        <v/>
      </c>
      <c r="L24" s="100"/>
    </row>
    <row r="25" spans="2:12" s="99" customFormat="1" ht="6.95" hidden="1" customHeight="1" x14ac:dyDescent="0.2">
      <c r="B25" s="98"/>
      <c r="L25" s="100"/>
    </row>
    <row r="26" spans="2:12" s="99" customFormat="1" ht="12" hidden="1" customHeight="1" x14ac:dyDescent="0.2">
      <c r="B26" s="98"/>
      <c r="D26" s="97" t="s">
        <v>32</v>
      </c>
      <c r="L26" s="100"/>
    </row>
    <row r="27" spans="2:12" s="105" customFormat="1" ht="16.5" hidden="1" customHeight="1" x14ac:dyDescent="0.2">
      <c r="B27" s="100"/>
      <c r="E27" s="324" t="s">
        <v>1</v>
      </c>
      <c r="F27" s="324"/>
      <c r="G27" s="324"/>
      <c r="H27" s="324"/>
      <c r="L27" s="100"/>
    </row>
    <row r="28" spans="2:12" s="99" customFormat="1" ht="6.95" hidden="1" customHeight="1" x14ac:dyDescent="0.2">
      <c r="B28" s="98"/>
      <c r="L28" s="100"/>
    </row>
    <row r="29" spans="2:12" s="99" customFormat="1" ht="6.95" hidden="1" customHeight="1" x14ac:dyDescent="0.2">
      <c r="B29" s="98"/>
      <c r="D29" s="106"/>
      <c r="E29" s="106"/>
      <c r="F29" s="106"/>
      <c r="G29" s="106"/>
      <c r="H29" s="106"/>
      <c r="I29" s="106"/>
      <c r="J29" s="106"/>
      <c r="K29" s="106"/>
      <c r="L29" s="100"/>
    </row>
    <row r="30" spans="2:12" s="99" customFormat="1" ht="25.35" hidden="1" customHeight="1" x14ac:dyDescent="0.2">
      <c r="B30" s="98"/>
      <c r="D30" s="107" t="s">
        <v>33</v>
      </c>
      <c r="J30" s="108">
        <f>ROUND(J124, 2)</f>
        <v>0</v>
      </c>
      <c r="L30" s="100"/>
    </row>
    <row r="31" spans="2:12" s="99" customFormat="1" ht="6.95" hidden="1" customHeight="1" x14ac:dyDescent="0.2">
      <c r="B31" s="98"/>
      <c r="D31" s="106"/>
      <c r="E31" s="106"/>
      <c r="F31" s="106"/>
      <c r="G31" s="106"/>
      <c r="H31" s="106"/>
      <c r="I31" s="106"/>
      <c r="J31" s="106"/>
      <c r="K31" s="106"/>
      <c r="L31" s="100"/>
    </row>
    <row r="32" spans="2:12" s="99" customFormat="1" ht="14.45" hidden="1" customHeight="1" x14ac:dyDescent="0.2">
      <c r="B32" s="98"/>
      <c r="F32" s="109" t="s">
        <v>35</v>
      </c>
      <c r="I32" s="109" t="s">
        <v>34</v>
      </c>
      <c r="J32" s="109" t="s">
        <v>36</v>
      </c>
      <c r="L32" s="100"/>
    </row>
    <row r="33" spans="2:12" s="99" customFormat="1" ht="14.45" hidden="1" customHeight="1" x14ac:dyDescent="0.2">
      <c r="B33" s="98"/>
      <c r="D33" s="110" t="s">
        <v>37</v>
      </c>
      <c r="E33" s="97" t="s">
        <v>38</v>
      </c>
      <c r="F33" s="111">
        <f>ROUND((SUM(BE124:BE512)),  2)</f>
        <v>0</v>
      </c>
      <c r="I33" s="112">
        <v>0.21</v>
      </c>
      <c r="J33" s="111">
        <f>ROUND(((SUM(BE124:BE512))*I33),  2)</f>
        <v>0</v>
      </c>
      <c r="L33" s="100"/>
    </row>
    <row r="34" spans="2:12" s="99" customFormat="1" ht="14.45" hidden="1" customHeight="1" x14ac:dyDescent="0.2">
      <c r="B34" s="98"/>
      <c r="E34" s="97" t="s">
        <v>39</v>
      </c>
      <c r="F34" s="111">
        <f>ROUND((SUM(BF124:BF512)),  2)</f>
        <v>0</v>
      </c>
      <c r="I34" s="112">
        <v>0.12</v>
      </c>
      <c r="J34" s="111">
        <f>ROUND(((SUM(BF124:BF512))*I34),  2)</f>
        <v>0</v>
      </c>
      <c r="L34" s="100"/>
    </row>
    <row r="35" spans="2:12" s="99" customFormat="1" ht="14.45" hidden="1" customHeight="1" x14ac:dyDescent="0.2">
      <c r="B35" s="98"/>
      <c r="E35" s="97" t="s">
        <v>40</v>
      </c>
      <c r="F35" s="111">
        <f>ROUND((SUM(BG124:BG512)),  2)</f>
        <v>0</v>
      </c>
      <c r="I35" s="112">
        <v>0.21</v>
      </c>
      <c r="J35" s="111">
        <f>0</f>
        <v>0</v>
      </c>
      <c r="L35" s="100"/>
    </row>
    <row r="36" spans="2:12" s="99" customFormat="1" ht="14.45" hidden="1" customHeight="1" x14ac:dyDescent="0.2">
      <c r="B36" s="98"/>
      <c r="E36" s="97" t="s">
        <v>41</v>
      </c>
      <c r="F36" s="111">
        <f>ROUND((SUM(BH124:BH512)),  2)</f>
        <v>0</v>
      </c>
      <c r="I36" s="112">
        <v>0.12</v>
      </c>
      <c r="J36" s="111">
        <f>0</f>
        <v>0</v>
      </c>
      <c r="L36" s="100"/>
    </row>
    <row r="37" spans="2:12" s="99" customFormat="1" ht="14.45" hidden="1" customHeight="1" x14ac:dyDescent="0.2">
      <c r="B37" s="98"/>
      <c r="E37" s="97" t="s">
        <v>42</v>
      </c>
      <c r="F37" s="111">
        <f>ROUND((SUM(BI124:BI512)),  2)</f>
        <v>0</v>
      </c>
      <c r="I37" s="112">
        <v>0</v>
      </c>
      <c r="J37" s="111">
        <f>0</f>
        <v>0</v>
      </c>
      <c r="L37" s="100"/>
    </row>
    <row r="38" spans="2:12" s="99" customFormat="1" ht="6.95" hidden="1" customHeight="1" x14ac:dyDescent="0.2">
      <c r="B38" s="98"/>
      <c r="L38" s="100"/>
    </row>
    <row r="39" spans="2:12" s="99" customFormat="1" ht="25.35" hidden="1" customHeight="1" x14ac:dyDescent="0.2">
      <c r="B39" s="98"/>
      <c r="C39" s="113"/>
      <c r="D39" s="114" t="s">
        <v>43</v>
      </c>
      <c r="E39" s="115"/>
      <c r="F39" s="115"/>
      <c r="G39" s="116" t="s">
        <v>44</v>
      </c>
      <c r="H39" s="117" t="s">
        <v>45</v>
      </c>
      <c r="I39" s="115"/>
      <c r="J39" s="118">
        <f>SUM(J30:J37)</f>
        <v>0</v>
      </c>
      <c r="K39" s="119"/>
      <c r="L39" s="100"/>
    </row>
    <row r="40" spans="2:12" s="99" customFormat="1" ht="14.45" hidden="1" customHeight="1" x14ac:dyDescent="0.2">
      <c r="B40" s="98"/>
      <c r="L40" s="100"/>
    </row>
    <row r="41" spans="2:12" ht="14.45" hidden="1" customHeight="1" x14ac:dyDescent="0.2">
      <c r="B41" s="94"/>
      <c r="L41" s="93"/>
    </row>
    <row r="42" spans="2:12" ht="14.45" hidden="1" customHeight="1" x14ac:dyDescent="0.2">
      <c r="B42" s="94"/>
      <c r="L42" s="93"/>
    </row>
    <row r="43" spans="2:12" ht="14.45" hidden="1" customHeight="1" x14ac:dyDescent="0.2">
      <c r="B43" s="94"/>
      <c r="L43" s="93"/>
    </row>
    <row r="44" spans="2:12" ht="14.45" hidden="1" customHeight="1" x14ac:dyDescent="0.2">
      <c r="B44" s="94"/>
      <c r="L44" s="93"/>
    </row>
    <row r="45" spans="2:12" ht="14.45" hidden="1" customHeight="1" x14ac:dyDescent="0.2">
      <c r="B45" s="94"/>
      <c r="L45" s="93"/>
    </row>
    <row r="46" spans="2:12" ht="14.45" hidden="1" customHeight="1" x14ac:dyDescent="0.2">
      <c r="B46" s="94"/>
      <c r="L46" s="93"/>
    </row>
    <row r="47" spans="2:12" ht="14.45" hidden="1" customHeight="1" x14ac:dyDescent="0.2">
      <c r="B47" s="94"/>
      <c r="L47" s="93"/>
    </row>
    <row r="48" spans="2:12" ht="14.45" hidden="1" customHeight="1" x14ac:dyDescent="0.2">
      <c r="B48" s="94"/>
      <c r="L48" s="93"/>
    </row>
    <row r="49" spans="2:12" ht="14.45" hidden="1" customHeight="1" x14ac:dyDescent="0.2">
      <c r="B49" s="94"/>
      <c r="L49" s="93"/>
    </row>
    <row r="50" spans="2:12" s="99" customFormat="1" ht="14.45" hidden="1" customHeight="1" x14ac:dyDescent="0.2">
      <c r="B50" s="98"/>
      <c r="D50" s="120" t="s">
        <v>46</v>
      </c>
      <c r="E50" s="121"/>
      <c r="F50" s="121"/>
      <c r="G50" s="120" t="s">
        <v>47</v>
      </c>
      <c r="H50" s="121"/>
      <c r="I50" s="121"/>
      <c r="J50" s="121"/>
      <c r="K50" s="121"/>
      <c r="L50" s="100"/>
    </row>
    <row r="51" spans="2:12" hidden="1" x14ac:dyDescent="0.2">
      <c r="B51" s="94"/>
      <c r="L51" s="93"/>
    </row>
    <row r="52" spans="2:12" hidden="1" x14ac:dyDescent="0.2">
      <c r="B52" s="94"/>
      <c r="L52" s="93"/>
    </row>
    <row r="53" spans="2:12" hidden="1" x14ac:dyDescent="0.2">
      <c r="B53" s="94"/>
      <c r="L53" s="93"/>
    </row>
    <row r="54" spans="2:12" hidden="1" x14ac:dyDescent="0.2">
      <c r="B54" s="94"/>
      <c r="L54" s="93"/>
    </row>
    <row r="55" spans="2:12" hidden="1" x14ac:dyDescent="0.2">
      <c r="B55" s="94"/>
      <c r="L55" s="93"/>
    </row>
    <row r="56" spans="2:12" hidden="1" x14ac:dyDescent="0.2">
      <c r="B56" s="94"/>
      <c r="L56" s="93"/>
    </row>
    <row r="57" spans="2:12" hidden="1" x14ac:dyDescent="0.2">
      <c r="B57" s="94"/>
      <c r="L57" s="93"/>
    </row>
    <row r="58" spans="2:12" hidden="1" x14ac:dyDescent="0.2">
      <c r="B58" s="94"/>
      <c r="L58" s="93"/>
    </row>
    <row r="59" spans="2:12" hidden="1" x14ac:dyDescent="0.2">
      <c r="B59" s="94"/>
      <c r="L59" s="93"/>
    </row>
    <row r="60" spans="2:12" hidden="1" x14ac:dyDescent="0.2">
      <c r="B60" s="94"/>
      <c r="L60" s="93"/>
    </row>
    <row r="61" spans="2:12" s="99" customFormat="1" ht="12.75" hidden="1" x14ac:dyDescent="0.2">
      <c r="B61" s="98"/>
      <c r="D61" s="122" t="s">
        <v>48</v>
      </c>
      <c r="E61" s="123"/>
      <c r="F61" s="124" t="s">
        <v>49</v>
      </c>
      <c r="G61" s="122" t="s">
        <v>48</v>
      </c>
      <c r="H61" s="123"/>
      <c r="I61" s="123"/>
      <c r="J61" s="125" t="s">
        <v>49</v>
      </c>
      <c r="K61" s="123"/>
      <c r="L61" s="100"/>
    </row>
    <row r="62" spans="2:12" hidden="1" x14ac:dyDescent="0.2">
      <c r="B62" s="94"/>
      <c r="L62" s="93"/>
    </row>
    <row r="63" spans="2:12" hidden="1" x14ac:dyDescent="0.2">
      <c r="B63" s="94"/>
      <c r="L63" s="93"/>
    </row>
    <row r="64" spans="2:12" hidden="1" x14ac:dyDescent="0.2">
      <c r="B64" s="94"/>
      <c r="L64" s="93"/>
    </row>
    <row r="65" spans="2:12" s="99" customFormat="1" ht="12.75" hidden="1" x14ac:dyDescent="0.2">
      <c r="B65" s="98"/>
      <c r="D65" s="120" t="s">
        <v>50</v>
      </c>
      <c r="E65" s="121"/>
      <c r="F65" s="121"/>
      <c r="G65" s="120" t="s">
        <v>51</v>
      </c>
      <c r="H65" s="121"/>
      <c r="I65" s="121"/>
      <c r="J65" s="121"/>
      <c r="K65" s="121"/>
      <c r="L65" s="100"/>
    </row>
    <row r="66" spans="2:12" hidden="1" x14ac:dyDescent="0.2">
      <c r="B66" s="94"/>
      <c r="L66" s="93"/>
    </row>
    <row r="67" spans="2:12" hidden="1" x14ac:dyDescent="0.2">
      <c r="B67" s="94"/>
      <c r="L67" s="93"/>
    </row>
    <row r="68" spans="2:12" hidden="1" x14ac:dyDescent="0.2">
      <c r="B68" s="94"/>
      <c r="L68" s="93"/>
    </row>
    <row r="69" spans="2:12" hidden="1" x14ac:dyDescent="0.2">
      <c r="B69" s="94"/>
      <c r="L69" s="93"/>
    </row>
    <row r="70" spans="2:12" hidden="1" x14ac:dyDescent="0.2">
      <c r="B70" s="94"/>
      <c r="L70" s="93"/>
    </row>
    <row r="71" spans="2:12" hidden="1" x14ac:dyDescent="0.2">
      <c r="B71" s="94"/>
      <c r="L71" s="93"/>
    </row>
    <row r="72" spans="2:12" hidden="1" x14ac:dyDescent="0.2">
      <c r="B72" s="94"/>
      <c r="L72" s="93"/>
    </row>
    <row r="73" spans="2:12" hidden="1" x14ac:dyDescent="0.2">
      <c r="B73" s="94"/>
      <c r="L73" s="93"/>
    </row>
    <row r="74" spans="2:12" hidden="1" x14ac:dyDescent="0.2">
      <c r="B74" s="94"/>
      <c r="L74" s="93"/>
    </row>
    <row r="75" spans="2:12" hidden="1" x14ac:dyDescent="0.2">
      <c r="B75" s="94"/>
      <c r="L75" s="93"/>
    </row>
    <row r="76" spans="2:12" s="99" customFormat="1" ht="12.75" hidden="1" x14ac:dyDescent="0.2">
      <c r="B76" s="98"/>
      <c r="D76" s="122" t="s">
        <v>48</v>
      </c>
      <c r="E76" s="123"/>
      <c r="F76" s="124" t="s">
        <v>49</v>
      </c>
      <c r="G76" s="122" t="s">
        <v>48</v>
      </c>
      <c r="H76" s="123"/>
      <c r="I76" s="123"/>
      <c r="J76" s="125" t="s">
        <v>49</v>
      </c>
      <c r="K76" s="123"/>
      <c r="L76" s="100"/>
    </row>
    <row r="77" spans="2:12" s="99" customFormat="1" ht="14.45" hidden="1" customHeight="1" x14ac:dyDescent="0.2"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100"/>
    </row>
    <row r="78" spans="2:12" hidden="1" x14ac:dyDescent="0.2"/>
    <row r="79" spans="2:12" hidden="1" x14ac:dyDescent="0.2"/>
    <row r="80" spans="2:12" hidden="1" x14ac:dyDescent="0.2"/>
    <row r="81" spans="2:47" s="99" customFormat="1" ht="6.95" customHeight="1" x14ac:dyDescent="0.2">
      <c r="B81" s="128"/>
      <c r="C81" s="129"/>
      <c r="D81" s="129"/>
      <c r="E81" s="129"/>
      <c r="F81" s="129"/>
      <c r="G81" s="129"/>
      <c r="H81" s="129"/>
      <c r="I81" s="129"/>
      <c r="J81" s="129"/>
      <c r="K81" s="129"/>
      <c r="L81" s="100"/>
    </row>
    <row r="82" spans="2:47" s="99" customFormat="1" ht="24.95" customHeight="1" x14ac:dyDescent="0.2">
      <c r="B82" s="98"/>
      <c r="C82" s="95" t="s">
        <v>99</v>
      </c>
      <c r="L82" s="100"/>
    </row>
    <row r="83" spans="2:47" s="99" customFormat="1" ht="6.95" customHeight="1" x14ac:dyDescent="0.2">
      <c r="B83" s="98"/>
      <c r="L83" s="100"/>
    </row>
    <row r="84" spans="2:47" s="99" customFormat="1" ht="12" customHeight="1" x14ac:dyDescent="0.2">
      <c r="B84" s="98"/>
      <c r="C84" s="97" t="s">
        <v>16</v>
      </c>
      <c r="L84" s="100"/>
    </row>
    <row r="85" spans="2:47" s="99" customFormat="1" ht="16.5" customHeight="1" x14ac:dyDescent="0.2">
      <c r="B85" s="98"/>
      <c r="E85" s="318" t="str">
        <f>E7</f>
        <v>Horky nad Jizerou - oprava vodovodu při stavbě KNL - II. etapa</v>
      </c>
      <c r="F85" s="319"/>
      <c r="G85" s="319"/>
      <c r="H85" s="319"/>
      <c r="L85" s="100"/>
    </row>
    <row r="86" spans="2:47" s="99" customFormat="1" ht="12" customHeight="1" x14ac:dyDescent="0.2">
      <c r="B86" s="98"/>
      <c r="C86" s="97" t="s">
        <v>97</v>
      </c>
      <c r="L86" s="100"/>
    </row>
    <row r="87" spans="2:47" s="99" customFormat="1" ht="16.5" customHeight="1" x14ac:dyDescent="0.2">
      <c r="B87" s="98"/>
      <c r="E87" s="316" t="str">
        <f>E9</f>
        <v>01 - SO 01 Vodovod</v>
      </c>
      <c r="F87" s="317"/>
      <c r="G87" s="317"/>
      <c r="H87" s="317"/>
      <c r="L87" s="100"/>
    </row>
    <row r="88" spans="2:47" s="99" customFormat="1" ht="6.95" customHeight="1" x14ac:dyDescent="0.2">
      <c r="B88" s="98"/>
      <c r="L88" s="100"/>
    </row>
    <row r="89" spans="2:47" s="99" customFormat="1" ht="12" customHeight="1" x14ac:dyDescent="0.2">
      <c r="B89" s="98"/>
      <c r="C89" s="97" t="s">
        <v>20</v>
      </c>
      <c r="F89" s="102" t="str">
        <f>F12</f>
        <v xml:space="preserve"> </v>
      </c>
      <c r="I89" s="97" t="s">
        <v>22</v>
      </c>
      <c r="J89" s="103" t="str">
        <f>IF(J12="","",J12)</f>
        <v>4. 11. 2024</v>
      </c>
      <c r="L89" s="100"/>
    </row>
    <row r="90" spans="2:47" s="99" customFormat="1" ht="6.95" customHeight="1" x14ac:dyDescent="0.2">
      <c r="B90" s="98"/>
      <c r="L90" s="100"/>
    </row>
    <row r="91" spans="2:47" s="99" customFormat="1" ht="15.2" customHeight="1" x14ac:dyDescent="0.2">
      <c r="B91" s="98"/>
      <c r="C91" s="97" t="s">
        <v>24</v>
      </c>
      <c r="F91" s="102" t="str">
        <f>E15</f>
        <v xml:space="preserve"> </v>
      </c>
      <c r="I91" s="97" t="s">
        <v>29</v>
      </c>
      <c r="J91" s="130" t="str">
        <f>E21</f>
        <v xml:space="preserve"> </v>
      </c>
      <c r="L91" s="100"/>
    </row>
    <row r="92" spans="2:47" s="99" customFormat="1" ht="15.2" customHeight="1" x14ac:dyDescent="0.2">
      <c r="B92" s="98"/>
      <c r="C92" s="97" t="s">
        <v>27</v>
      </c>
      <c r="F92" s="102" t="str">
        <f>IF(E18="","",E18)</f>
        <v>Vyplň údaj</v>
      </c>
      <c r="I92" s="97" t="s">
        <v>31</v>
      </c>
      <c r="J92" s="130" t="str">
        <f>E24</f>
        <v xml:space="preserve"> </v>
      </c>
      <c r="L92" s="100"/>
    </row>
    <row r="93" spans="2:47" s="99" customFormat="1" ht="10.35" customHeight="1" x14ac:dyDescent="0.2">
      <c r="B93" s="98"/>
      <c r="L93" s="100"/>
    </row>
    <row r="94" spans="2:47" s="99" customFormat="1" ht="29.25" customHeight="1" x14ac:dyDescent="0.2">
      <c r="B94" s="98"/>
      <c r="C94" s="131" t="s">
        <v>100</v>
      </c>
      <c r="J94" s="132" t="s">
        <v>101</v>
      </c>
      <c r="K94" s="113"/>
      <c r="L94" s="100"/>
    </row>
    <row r="95" spans="2:47" s="99" customFormat="1" ht="10.35" customHeight="1" x14ac:dyDescent="0.2">
      <c r="B95" s="98"/>
      <c r="L95" s="100"/>
    </row>
    <row r="96" spans="2:47" s="99" customFormat="1" ht="22.9" customHeight="1" x14ac:dyDescent="0.2">
      <c r="B96" s="98"/>
      <c r="C96" s="133" t="s">
        <v>102</v>
      </c>
      <c r="J96" s="134">
        <f>J97</f>
        <v>0</v>
      </c>
      <c r="L96" s="100"/>
      <c r="AU96" s="90" t="s">
        <v>103</v>
      </c>
    </row>
    <row r="97" spans="2:12" s="136" customFormat="1" ht="24.95" customHeight="1" x14ac:dyDescent="0.2">
      <c r="B97" s="135"/>
      <c r="D97" s="137" t="s">
        <v>104</v>
      </c>
      <c r="E97" s="138"/>
      <c r="F97" s="138"/>
      <c r="G97" s="138"/>
      <c r="H97" s="138"/>
      <c r="I97" s="138"/>
      <c r="J97" s="139">
        <f>SUM(J98:J104)</f>
        <v>0</v>
      </c>
      <c r="L97" s="140"/>
    </row>
    <row r="98" spans="2:12" s="142" customFormat="1" ht="19.899999999999999" customHeight="1" x14ac:dyDescent="0.2">
      <c r="B98" s="141"/>
      <c r="D98" s="143" t="s">
        <v>105</v>
      </c>
      <c r="E98" s="144"/>
      <c r="F98" s="144"/>
      <c r="G98" s="144"/>
      <c r="H98" s="144"/>
      <c r="I98" s="144"/>
      <c r="J98" s="145">
        <f>J126</f>
        <v>0</v>
      </c>
      <c r="L98" s="146"/>
    </row>
    <row r="99" spans="2:12" s="142" customFormat="1" ht="19.899999999999999" customHeight="1" x14ac:dyDescent="0.2">
      <c r="B99" s="141"/>
      <c r="D99" s="143" t="s">
        <v>106</v>
      </c>
      <c r="E99" s="144"/>
      <c r="F99" s="144"/>
      <c r="G99" s="144"/>
      <c r="H99" s="144"/>
      <c r="I99" s="144"/>
      <c r="J99" s="145">
        <f>J261</f>
        <v>0</v>
      </c>
      <c r="L99" s="146"/>
    </row>
    <row r="100" spans="2:12" s="142" customFormat="1" ht="19.899999999999999" customHeight="1" x14ac:dyDescent="0.2">
      <c r="B100" s="141"/>
      <c r="D100" s="143" t="s">
        <v>107</v>
      </c>
      <c r="E100" s="144"/>
      <c r="F100" s="144"/>
      <c r="G100" s="144"/>
      <c r="H100" s="144"/>
      <c r="I100" s="144"/>
      <c r="J100" s="145">
        <f>J275</f>
        <v>0</v>
      </c>
      <c r="L100" s="146"/>
    </row>
    <row r="101" spans="2:12" s="142" customFormat="1" ht="19.899999999999999" customHeight="1" x14ac:dyDescent="0.2">
      <c r="B101" s="141"/>
      <c r="D101" s="143" t="s">
        <v>108</v>
      </c>
      <c r="E101" s="144"/>
      <c r="F101" s="144"/>
      <c r="G101" s="144"/>
      <c r="H101" s="144"/>
      <c r="I101" s="144"/>
      <c r="J101" s="145">
        <f>J310</f>
        <v>0</v>
      </c>
      <c r="L101" s="146"/>
    </row>
    <row r="102" spans="2:12" s="142" customFormat="1" ht="19.899999999999999" customHeight="1" x14ac:dyDescent="0.2">
      <c r="B102" s="141"/>
      <c r="D102" s="143" t="s">
        <v>109</v>
      </c>
      <c r="E102" s="144"/>
      <c r="F102" s="144"/>
      <c r="G102" s="144"/>
      <c r="H102" s="144"/>
      <c r="I102" s="144"/>
      <c r="J102" s="145">
        <f>J472</f>
        <v>0</v>
      </c>
      <c r="L102" s="146"/>
    </row>
    <row r="103" spans="2:12" s="142" customFormat="1" ht="19.899999999999999" customHeight="1" x14ac:dyDescent="0.2">
      <c r="B103" s="141"/>
      <c r="D103" s="143" t="s">
        <v>110</v>
      </c>
      <c r="E103" s="144"/>
      <c r="F103" s="144"/>
      <c r="G103" s="144"/>
      <c r="H103" s="144"/>
      <c r="I103" s="144"/>
      <c r="J103" s="145">
        <f>J496</f>
        <v>0</v>
      </c>
      <c r="L103" s="146"/>
    </row>
    <row r="104" spans="2:12" s="142" customFormat="1" ht="19.899999999999999" customHeight="1" x14ac:dyDescent="0.2">
      <c r="B104" s="141"/>
      <c r="D104" s="143" t="s">
        <v>111</v>
      </c>
      <c r="E104" s="144"/>
      <c r="F104" s="144"/>
      <c r="G104" s="144"/>
      <c r="H104" s="144"/>
      <c r="I104" s="144"/>
      <c r="J104" s="145">
        <f>J511</f>
        <v>0</v>
      </c>
      <c r="L104" s="146"/>
    </row>
    <row r="105" spans="2:12" s="99" customFormat="1" ht="21.75" customHeight="1" x14ac:dyDescent="0.2">
      <c r="B105" s="98"/>
      <c r="L105" s="100"/>
    </row>
    <row r="106" spans="2:12" s="99" customFormat="1" ht="6.95" customHeight="1" x14ac:dyDescent="0.2">
      <c r="B106" s="126"/>
      <c r="C106" s="127"/>
      <c r="D106" s="127"/>
      <c r="E106" s="127"/>
      <c r="F106" s="127"/>
      <c r="G106" s="127"/>
      <c r="H106" s="127"/>
      <c r="I106" s="127"/>
      <c r="J106" s="127"/>
      <c r="K106" s="127"/>
      <c r="L106" s="100"/>
    </row>
    <row r="110" spans="2:12" s="99" customFormat="1" ht="6.95" customHeight="1" x14ac:dyDescent="0.2">
      <c r="B110" s="128"/>
      <c r="C110" s="129"/>
      <c r="D110" s="129"/>
      <c r="E110" s="129"/>
      <c r="F110" s="129"/>
      <c r="G110" s="129"/>
      <c r="H110" s="129"/>
      <c r="I110" s="129"/>
      <c r="J110" s="129"/>
      <c r="K110" s="129"/>
      <c r="L110" s="100"/>
    </row>
    <row r="111" spans="2:12" s="99" customFormat="1" ht="24.95" customHeight="1" x14ac:dyDescent="0.2">
      <c r="B111" s="98"/>
      <c r="C111" s="95" t="s">
        <v>112</v>
      </c>
      <c r="L111" s="100"/>
    </row>
    <row r="112" spans="2:12" s="99" customFormat="1" ht="6.95" customHeight="1" x14ac:dyDescent="0.2">
      <c r="B112" s="98"/>
      <c r="L112" s="100"/>
    </row>
    <row r="113" spans="2:65" s="99" customFormat="1" ht="12" customHeight="1" x14ac:dyDescent="0.2">
      <c r="B113" s="98"/>
      <c r="C113" s="97" t="s">
        <v>16</v>
      </c>
      <c r="L113" s="100"/>
    </row>
    <row r="114" spans="2:65" s="99" customFormat="1" ht="16.5" customHeight="1" x14ac:dyDescent="0.2">
      <c r="B114" s="98"/>
      <c r="E114" s="318" t="str">
        <f>E7</f>
        <v>Horky nad Jizerou - oprava vodovodu při stavbě KNL - II. etapa</v>
      </c>
      <c r="F114" s="319"/>
      <c r="G114" s="319"/>
      <c r="H114" s="319"/>
      <c r="L114" s="100"/>
    </row>
    <row r="115" spans="2:65" s="99" customFormat="1" ht="12" customHeight="1" x14ac:dyDescent="0.2">
      <c r="B115" s="98"/>
      <c r="C115" s="97" t="s">
        <v>97</v>
      </c>
      <c r="L115" s="100"/>
    </row>
    <row r="116" spans="2:65" s="99" customFormat="1" ht="16.5" customHeight="1" x14ac:dyDescent="0.2">
      <c r="B116" s="98"/>
      <c r="E116" s="316" t="str">
        <f>E9</f>
        <v>01 - SO 01 Vodovod</v>
      </c>
      <c r="F116" s="317"/>
      <c r="G116" s="317"/>
      <c r="H116" s="317"/>
      <c r="L116" s="100"/>
    </row>
    <row r="117" spans="2:65" s="99" customFormat="1" ht="6.95" hidden="1" customHeight="1" x14ac:dyDescent="0.2">
      <c r="B117" s="98"/>
      <c r="L117" s="100"/>
    </row>
    <row r="118" spans="2:65" s="99" customFormat="1" ht="12" hidden="1" customHeight="1" x14ac:dyDescent="0.2">
      <c r="B118" s="98"/>
      <c r="C118" s="97" t="s">
        <v>20</v>
      </c>
      <c r="F118" s="102" t="str">
        <f>F12</f>
        <v xml:space="preserve"> </v>
      </c>
      <c r="I118" s="97" t="s">
        <v>22</v>
      </c>
      <c r="J118" s="103" t="str">
        <f>IF(J12="","",J12)</f>
        <v>4. 11. 2024</v>
      </c>
      <c r="L118" s="100"/>
    </row>
    <row r="119" spans="2:65" s="99" customFormat="1" ht="6.95" hidden="1" customHeight="1" x14ac:dyDescent="0.2">
      <c r="B119" s="98"/>
      <c r="L119" s="100"/>
    </row>
    <row r="120" spans="2:65" s="99" customFormat="1" ht="15.2" hidden="1" customHeight="1" x14ac:dyDescent="0.2">
      <c r="B120" s="98"/>
      <c r="C120" s="97" t="s">
        <v>24</v>
      </c>
      <c r="F120" s="102" t="str">
        <f>E15</f>
        <v xml:space="preserve"> </v>
      </c>
      <c r="I120" s="97" t="s">
        <v>29</v>
      </c>
      <c r="J120" s="130" t="str">
        <f>E21</f>
        <v xml:space="preserve"> </v>
      </c>
      <c r="L120" s="100"/>
    </row>
    <row r="121" spans="2:65" s="99" customFormat="1" ht="15.2" hidden="1" customHeight="1" x14ac:dyDescent="0.2">
      <c r="B121" s="98"/>
      <c r="C121" s="97" t="s">
        <v>27</v>
      </c>
      <c r="F121" s="102" t="str">
        <f>IF(E18="","",E18)</f>
        <v>Vyplň údaj</v>
      </c>
      <c r="I121" s="97" t="s">
        <v>31</v>
      </c>
      <c r="J121" s="130" t="str">
        <f>E24</f>
        <v xml:space="preserve"> </v>
      </c>
      <c r="L121" s="100"/>
    </row>
    <row r="122" spans="2:65" s="99" customFormat="1" ht="10.35" hidden="1" customHeight="1" x14ac:dyDescent="0.2">
      <c r="B122" s="98"/>
      <c r="L122" s="100"/>
    </row>
    <row r="123" spans="2:65" s="155" customFormat="1" ht="29.25" customHeight="1" x14ac:dyDescent="0.2">
      <c r="B123" s="147"/>
      <c r="C123" s="148" t="s">
        <v>113</v>
      </c>
      <c r="D123" s="149" t="s">
        <v>57</v>
      </c>
      <c r="E123" s="149" t="s">
        <v>54</v>
      </c>
      <c r="F123" s="149" t="s">
        <v>55</v>
      </c>
      <c r="G123" s="149" t="s">
        <v>114</v>
      </c>
      <c r="H123" s="149" t="s">
        <v>115</v>
      </c>
      <c r="I123" s="149" t="s">
        <v>116</v>
      </c>
      <c r="J123" s="150" t="s">
        <v>101</v>
      </c>
      <c r="K123" s="151" t="s">
        <v>117</v>
      </c>
      <c r="L123" s="147"/>
      <c r="M123" s="152" t="s">
        <v>1</v>
      </c>
      <c r="N123" s="153" t="s">
        <v>37</v>
      </c>
      <c r="O123" s="153" t="s">
        <v>118</v>
      </c>
      <c r="P123" s="153" t="s">
        <v>119</v>
      </c>
      <c r="Q123" s="153" t="s">
        <v>120</v>
      </c>
      <c r="R123" s="153" t="s">
        <v>121</v>
      </c>
      <c r="S123" s="153" t="s">
        <v>122</v>
      </c>
      <c r="T123" s="154" t="s">
        <v>123</v>
      </c>
    </row>
    <row r="124" spans="2:65" s="99" customFormat="1" ht="50.25" customHeight="1" x14ac:dyDescent="0.25">
      <c r="B124" s="98"/>
      <c r="C124" s="156" t="s">
        <v>124</v>
      </c>
      <c r="J124" s="157">
        <f>J96</f>
        <v>0</v>
      </c>
      <c r="L124" s="158"/>
      <c r="M124" s="159"/>
      <c r="N124" s="106"/>
      <c r="O124" s="106"/>
      <c r="P124" s="160" t="e">
        <f>P125</f>
        <v>#REF!</v>
      </c>
      <c r="Q124" s="106"/>
      <c r="R124" s="160">
        <f>R125</f>
        <v>53.960904419999977</v>
      </c>
      <c r="S124" s="106"/>
      <c r="T124" s="161" t="e">
        <f>T125</f>
        <v>#REF!</v>
      </c>
      <c r="AT124" s="90" t="s">
        <v>71</v>
      </c>
      <c r="AU124" s="90" t="s">
        <v>103</v>
      </c>
      <c r="BK124" s="162" t="e">
        <f>BK125</f>
        <v>#REF!</v>
      </c>
    </row>
    <row r="125" spans="2:65" s="164" customFormat="1" ht="25.9" customHeight="1" x14ac:dyDescent="0.2">
      <c r="B125" s="163"/>
      <c r="D125" s="165" t="s">
        <v>71</v>
      </c>
      <c r="E125" s="166" t="s">
        <v>125</v>
      </c>
      <c r="F125" s="166" t="s">
        <v>126</v>
      </c>
      <c r="J125" s="167">
        <f>J97</f>
        <v>0</v>
      </c>
      <c r="L125" s="168"/>
      <c r="M125" s="169"/>
      <c r="P125" s="170" t="e">
        <f>P126+#REF!+P261+P275+P310+P472+P496+P511</f>
        <v>#REF!</v>
      </c>
      <c r="R125" s="170">
        <f>R126+R261+R275+R310+R472+R496+R511</f>
        <v>53.960904419999977</v>
      </c>
      <c r="T125" s="171" t="e">
        <f>T126+#REF!+T261+T275+T310+T472+T496+T511</f>
        <v>#REF!</v>
      </c>
      <c r="AR125" s="165" t="s">
        <v>80</v>
      </c>
      <c r="AT125" s="172" t="s">
        <v>71</v>
      </c>
      <c r="AU125" s="172" t="s">
        <v>72</v>
      </c>
      <c r="AY125" s="165" t="s">
        <v>127</v>
      </c>
      <c r="BK125" s="173" t="e">
        <f>BK126+#REF!+BK261+BK275+BK310+BK472+BK496+BK511</f>
        <v>#REF!</v>
      </c>
    </row>
    <row r="126" spans="2:65" s="164" customFormat="1" ht="22.9" customHeight="1" x14ac:dyDescent="0.2">
      <c r="B126" s="163"/>
      <c r="D126" s="165" t="s">
        <v>71</v>
      </c>
      <c r="E126" s="174" t="s">
        <v>80</v>
      </c>
      <c r="F126" s="174" t="s">
        <v>128</v>
      </c>
      <c r="J126" s="175">
        <f>SUM(J127:J259)</f>
        <v>0</v>
      </c>
      <c r="L126" s="168"/>
      <c r="M126" s="169"/>
      <c r="P126" s="170">
        <f>SUM(P127:P260)</f>
        <v>0</v>
      </c>
      <c r="R126" s="170">
        <f>SUM(R127:R260)</f>
        <v>7.6713217199999999</v>
      </c>
      <c r="T126" s="171">
        <f>SUM(T127:T260)</f>
        <v>1797.10376</v>
      </c>
      <c r="AR126" s="165" t="s">
        <v>80</v>
      </c>
      <c r="AT126" s="172" t="s">
        <v>71</v>
      </c>
      <c r="AU126" s="172" t="s">
        <v>80</v>
      </c>
      <c r="AY126" s="165" t="s">
        <v>127</v>
      </c>
      <c r="BK126" s="173">
        <f>SUM(BK127:BK260)</f>
        <v>0</v>
      </c>
    </row>
    <row r="127" spans="2:65" s="99" customFormat="1" ht="24.2" customHeight="1" x14ac:dyDescent="0.2">
      <c r="B127" s="98"/>
      <c r="C127" s="176">
        <v>1</v>
      </c>
      <c r="D127" s="176" t="s">
        <v>129</v>
      </c>
      <c r="E127" s="177" t="s">
        <v>135</v>
      </c>
      <c r="F127" s="178" t="s">
        <v>136</v>
      </c>
      <c r="G127" s="179" t="s">
        <v>130</v>
      </c>
      <c r="H127" s="180">
        <f>H128</f>
        <v>605.4</v>
      </c>
      <c r="I127" s="80"/>
      <c r="J127" s="181">
        <f>ROUND(I127*H127,2)</f>
        <v>0</v>
      </c>
      <c r="K127" s="182"/>
      <c r="L127" s="158"/>
      <c r="M127" s="183" t="s">
        <v>1</v>
      </c>
      <c r="N127" s="184" t="s">
        <v>38</v>
      </c>
      <c r="P127" s="185">
        <f>O127*H127</f>
        <v>0</v>
      </c>
      <c r="Q127" s="185">
        <v>0</v>
      </c>
      <c r="R127" s="185">
        <f>Q127*H127</f>
        <v>0</v>
      </c>
      <c r="S127" s="185">
        <v>0.3</v>
      </c>
      <c r="T127" s="186">
        <f>S127*H127</f>
        <v>181.61999999999998</v>
      </c>
      <c r="AR127" s="131" t="s">
        <v>131</v>
      </c>
      <c r="AT127" s="131" t="s">
        <v>129</v>
      </c>
      <c r="AU127" s="131" t="s">
        <v>82</v>
      </c>
      <c r="AY127" s="90" t="s">
        <v>127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90" t="s">
        <v>80</v>
      </c>
      <c r="BK127" s="187">
        <f>ROUND(I127*H127,2)</f>
        <v>0</v>
      </c>
      <c r="BL127" s="90" t="s">
        <v>131</v>
      </c>
      <c r="BM127" s="131" t="s">
        <v>137</v>
      </c>
    </row>
    <row r="128" spans="2:65" s="189" customFormat="1" x14ac:dyDescent="0.2">
      <c r="B128" s="188"/>
      <c r="D128" s="190" t="s">
        <v>132</v>
      </c>
      <c r="E128" s="191" t="s">
        <v>1</v>
      </c>
      <c r="F128" s="192" t="s">
        <v>832</v>
      </c>
      <c r="H128" s="193">
        <f>(513+2.4+2.5+2.5+3+82)*1</f>
        <v>605.4</v>
      </c>
      <c r="I128" s="82"/>
      <c r="L128" s="158"/>
      <c r="M128" s="194"/>
      <c r="T128" s="195"/>
      <c r="AT128" s="191" t="s">
        <v>132</v>
      </c>
      <c r="AU128" s="191" t="s">
        <v>82</v>
      </c>
      <c r="AV128" s="189" t="s">
        <v>82</v>
      </c>
      <c r="AW128" s="189" t="s">
        <v>30</v>
      </c>
      <c r="AX128" s="189" t="s">
        <v>72</v>
      </c>
      <c r="AY128" s="191" t="s">
        <v>127</v>
      </c>
    </row>
    <row r="129" spans="2:65" s="99" customFormat="1" ht="24.2" customHeight="1" x14ac:dyDescent="0.2">
      <c r="B129" s="98"/>
      <c r="C129" s="176">
        <v>2</v>
      </c>
      <c r="D129" s="176" t="s">
        <v>129</v>
      </c>
      <c r="E129" s="177" t="s">
        <v>138</v>
      </c>
      <c r="F129" s="178" t="s">
        <v>139</v>
      </c>
      <c r="G129" s="179" t="s">
        <v>130</v>
      </c>
      <c r="H129" s="180">
        <f>H133</f>
        <v>1730.8</v>
      </c>
      <c r="I129" s="80"/>
      <c r="J129" s="181">
        <f>ROUND(I129*H129,2)</f>
        <v>0</v>
      </c>
      <c r="K129" s="182"/>
      <c r="L129" s="196"/>
      <c r="M129" s="183" t="s">
        <v>1</v>
      </c>
      <c r="N129" s="184" t="s">
        <v>38</v>
      </c>
      <c r="P129" s="185">
        <f>O129*H129</f>
        <v>0</v>
      </c>
      <c r="Q129" s="185">
        <v>0</v>
      </c>
      <c r="R129" s="185">
        <f>Q129*H129</f>
        <v>0</v>
      </c>
      <c r="S129" s="185">
        <v>0.44</v>
      </c>
      <c r="T129" s="186">
        <f>S129*H129</f>
        <v>761.55200000000002</v>
      </c>
      <c r="AR129" s="131" t="s">
        <v>131</v>
      </c>
      <c r="AT129" s="131" t="s">
        <v>129</v>
      </c>
      <c r="AU129" s="131" t="s">
        <v>82</v>
      </c>
      <c r="AY129" s="90" t="s">
        <v>127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90" t="s">
        <v>80</v>
      </c>
      <c r="BK129" s="187">
        <f>ROUND(I129*H129,2)</f>
        <v>0</v>
      </c>
      <c r="BL129" s="90" t="s">
        <v>131</v>
      </c>
      <c r="BM129" s="131" t="s">
        <v>140</v>
      </c>
    </row>
    <row r="130" spans="2:65" s="189" customFormat="1" x14ac:dyDescent="0.2">
      <c r="B130" s="188"/>
      <c r="D130" s="190" t="s">
        <v>132</v>
      </c>
      <c r="E130" s="191" t="s">
        <v>1</v>
      </c>
      <c r="F130" s="192" t="s">
        <v>831</v>
      </c>
      <c r="H130" s="193">
        <f>(55.1+51+10+2.1+3.4)*1</f>
        <v>121.6</v>
      </c>
      <c r="I130" s="82"/>
      <c r="L130" s="158"/>
      <c r="M130" s="194"/>
      <c r="T130" s="195"/>
      <c r="AT130" s="191" t="s">
        <v>132</v>
      </c>
      <c r="AU130" s="191" t="s">
        <v>82</v>
      </c>
      <c r="AV130" s="189" t="s">
        <v>82</v>
      </c>
      <c r="AW130" s="189" t="s">
        <v>30</v>
      </c>
      <c r="AX130" s="189" t="s">
        <v>72</v>
      </c>
      <c r="AY130" s="191" t="s">
        <v>127</v>
      </c>
    </row>
    <row r="131" spans="2:65" s="189" customFormat="1" x14ac:dyDescent="0.2">
      <c r="B131" s="188"/>
      <c r="D131" s="190" t="s">
        <v>132</v>
      </c>
      <c r="E131" s="191" t="s">
        <v>1</v>
      </c>
      <c r="F131" s="192" t="s">
        <v>833</v>
      </c>
      <c r="H131" s="193">
        <f>(513+2.4+2.5+2.5+3+82)*1</f>
        <v>605.4</v>
      </c>
      <c r="I131" s="82"/>
      <c r="L131" s="158"/>
      <c r="M131" s="194"/>
      <c r="T131" s="195"/>
      <c r="AT131" s="191" t="s">
        <v>132</v>
      </c>
      <c r="AU131" s="191" t="s">
        <v>82</v>
      </c>
      <c r="AV131" s="189" t="s">
        <v>82</v>
      </c>
      <c r="AW131" s="189" t="s">
        <v>30</v>
      </c>
      <c r="AX131" s="189" t="s">
        <v>72</v>
      </c>
      <c r="AY131" s="191" t="s">
        <v>127</v>
      </c>
    </row>
    <row r="132" spans="2:65" s="189" customFormat="1" x14ac:dyDescent="0.2">
      <c r="B132" s="188"/>
      <c r="D132" s="190" t="s">
        <v>132</v>
      </c>
      <c r="E132" s="191" t="s">
        <v>1</v>
      </c>
      <c r="F132" s="192" t="s">
        <v>834</v>
      </c>
      <c r="H132" s="193">
        <f>(244.4+10+94.9+38.5+616)*1</f>
        <v>1003.8</v>
      </c>
      <c r="I132" s="82"/>
      <c r="L132" s="158"/>
      <c r="M132" s="194"/>
      <c r="T132" s="195"/>
      <c r="AT132" s="191" t="s">
        <v>132</v>
      </c>
      <c r="AU132" s="191" t="s">
        <v>82</v>
      </c>
      <c r="AV132" s="189" t="s">
        <v>82</v>
      </c>
      <c r="AW132" s="189" t="s">
        <v>30</v>
      </c>
      <c r="AX132" s="189" t="s">
        <v>72</v>
      </c>
      <c r="AY132" s="191" t="s">
        <v>127</v>
      </c>
    </row>
    <row r="133" spans="2:65" s="198" customFormat="1" x14ac:dyDescent="0.2">
      <c r="B133" s="197"/>
      <c r="D133" s="190" t="s">
        <v>132</v>
      </c>
      <c r="E133" s="199" t="s">
        <v>1</v>
      </c>
      <c r="F133" s="200" t="s">
        <v>133</v>
      </c>
      <c r="H133" s="201">
        <f>SUM(H130:H132)</f>
        <v>1730.8</v>
      </c>
      <c r="I133" s="83"/>
      <c r="L133" s="202"/>
      <c r="M133" s="203"/>
      <c r="T133" s="204"/>
      <c r="AT133" s="199" t="s">
        <v>132</v>
      </c>
      <c r="AU133" s="199" t="s">
        <v>82</v>
      </c>
      <c r="AV133" s="198" t="s">
        <v>131</v>
      </c>
      <c r="AW133" s="198" t="s">
        <v>30</v>
      </c>
      <c r="AX133" s="198" t="s">
        <v>80</v>
      </c>
      <c r="AY133" s="199" t="s">
        <v>127</v>
      </c>
    </row>
    <row r="134" spans="2:65" s="99" customFormat="1" ht="24.2" customHeight="1" x14ac:dyDescent="0.2">
      <c r="B134" s="98"/>
      <c r="C134" s="176">
        <v>3</v>
      </c>
      <c r="D134" s="176" t="s">
        <v>129</v>
      </c>
      <c r="E134" s="177"/>
      <c r="F134" s="178" t="s">
        <v>963</v>
      </c>
      <c r="G134" s="179" t="s">
        <v>130</v>
      </c>
      <c r="H134" s="180">
        <f>H137</f>
        <v>1609.1999999999998</v>
      </c>
      <c r="I134" s="80"/>
      <c r="J134" s="181">
        <f>ROUND(I134*H134,2)</f>
        <v>0</v>
      </c>
      <c r="K134" s="182"/>
      <c r="L134" s="196"/>
      <c r="M134" s="183" t="s">
        <v>1</v>
      </c>
      <c r="N134" s="184" t="s">
        <v>38</v>
      </c>
      <c r="P134" s="185">
        <f>O134*H134</f>
        <v>0</v>
      </c>
      <c r="Q134" s="185">
        <v>0</v>
      </c>
      <c r="R134" s="185">
        <f>Q134*H134</f>
        <v>0</v>
      </c>
      <c r="S134" s="185">
        <v>0.22</v>
      </c>
      <c r="T134" s="186">
        <f>S134*H134</f>
        <v>354.02399999999994</v>
      </c>
      <c r="AR134" s="131" t="s">
        <v>131</v>
      </c>
      <c r="AT134" s="131" t="s">
        <v>129</v>
      </c>
      <c r="AU134" s="131" t="s">
        <v>82</v>
      </c>
      <c r="AY134" s="90" t="s">
        <v>127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90" t="s">
        <v>80</v>
      </c>
      <c r="BK134" s="187">
        <f>ROUND(I134*H134,2)</f>
        <v>0</v>
      </c>
      <c r="BL134" s="90" t="s">
        <v>131</v>
      </c>
      <c r="BM134" s="131" t="s">
        <v>142</v>
      </c>
    </row>
    <row r="135" spans="2:65" s="189" customFormat="1" x14ac:dyDescent="0.2">
      <c r="B135" s="188"/>
      <c r="D135" s="190" t="s">
        <v>132</v>
      </c>
      <c r="E135" s="191" t="s">
        <v>1</v>
      </c>
      <c r="F135" s="192" t="s">
        <v>834</v>
      </c>
      <c r="H135" s="193">
        <f>(244.4+10+94.9+38.5+616)*1</f>
        <v>1003.8</v>
      </c>
      <c r="I135" s="82"/>
      <c r="L135" s="158"/>
      <c r="M135" s="194"/>
      <c r="T135" s="195"/>
      <c r="AT135" s="191" t="s">
        <v>132</v>
      </c>
      <c r="AU135" s="191" t="s">
        <v>82</v>
      </c>
      <c r="AV135" s="189" t="s">
        <v>82</v>
      </c>
      <c r="AW135" s="189" t="s">
        <v>30</v>
      </c>
      <c r="AX135" s="189" t="s">
        <v>72</v>
      </c>
      <c r="AY135" s="191" t="s">
        <v>127</v>
      </c>
    </row>
    <row r="136" spans="2:65" s="189" customFormat="1" x14ac:dyDescent="0.2">
      <c r="B136" s="188"/>
      <c r="D136" s="190" t="s">
        <v>132</v>
      </c>
      <c r="E136" s="191" t="s">
        <v>1</v>
      </c>
      <c r="F136" s="192" t="s">
        <v>833</v>
      </c>
      <c r="H136" s="193">
        <f>(513+2.4+2.5+2.5+3+82)*1</f>
        <v>605.4</v>
      </c>
      <c r="I136" s="82"/>
      <c r="L136" s="158"/>
      <c r="M136" s="194"/>
      <c r="T136" s="195"/>
      <c r="AT136" s="191" t="s">
        <v>132</v>
      </c>
      <c r="AU136" s="191" t="s">
        <v>82</v>
      </c>
      <c r="AV136" s="189" t="s">
        <v>82</v>
      </c>
      <c r="AW136" s="189" t="s">
        <v>30</v>
      </c>
      <c r="AX136" s="189" t="s">
        <v>72</v>
      </c>
      <c r="AY136" s="191" t="s">
        <v>127</v>
      </c>
    </row>
    <row r="137" spans="2:65" s="198" customFormat="1" x14ac:dyDescent="0.2">
      <c r="B137" s="197"/>
      <c r="D137" s="190" t="s">
        <v>132</v>
      </c>
      <c r="E137" s="199" t="s">
        <v>1</v>
      </c>
      <c r="F137" s="200" t="s">
        <v>133</v>
      </c>
      <c r="H137" s="201">
        <f>H136+H135</f>
        <v>1609.1999999999998</v>
      </c>
      <c r="I137" s="83"/>
      <c r="L137" s="202"/>
      <c r="M137" s="203"/>
      <c r="T137" s="204"/>
      <c r="AT137" s="199" t="s">
        <v>132</v>
      </c>
      <c r="AU137" s="199" t="s">
        <v>82</v>
      </c>
      <c r="AV137" s="198" t="s">
        <v>131</v>
      </c>
      <c r="AW137" s="198" t="s">
        <v>30</v>
      </c>
      <c r="AX137" s="198" t="s">
        <v>80</v>
      </c>
      <c r="AY137" s="199" t="s">
        <v>127</v>
      </c>
    </row>
    <row r="138" spans="2:65" s="99" customFormat="1" ht="24.2" customHeight="1" x14ac:dyDescent="0.2">
      <c r="B138" s="98"/>
      <c r="C138" s="176">
        <v>4</v>
      </c>
      <c r="D138" s="176" t="s">
        <v>129</v>
      </c>
      <c r="E138" s="177"/>
      <c r="F138" s="178" t="s">
        <v>956</v>
      </c>
      <c r="G138" s="179" t="s">
        <v>130</v>
      </c>
      <c r="H138" s="180">
        <f>H140</f>
        <v>1606.08</v>
      </c>
      <c r="I138" s="80"/>
      <c r="J138" s="181">
        <f>ROUND(I138*H138,2)</f>
        <v>0</v>
      </c>
      <c r="K138" s="182"/>
      <c r="L138" s="196"/>
      <c r="M138" s="183" t="s">
        <v>1</v>
      </c>
      <c r="N138" s="184" t="s">
        <v>38</v>
      </c>
      <c r="P138" s="185">
        <f>O138*H138</f>
        <v>0</v>
      </c>
      <c r="Q138" s="185">
        <v>1.0000000000000001E-5</v>
      </c>
      <c r="R138" s="185">
        <f>Q138*H138</f>
        <v>1.60608E-2</v>
      </c>
      <c r="S138" s="185">
        <v>9.1999999999999998E-2</v>
      </c>
      <c r="T138" s="186">
        <f>S138*H138</f>
        <v>147.75935999999999</v>
      </c>
      <c r="AR138" s="131" t="s">
        <v>131</v>
      </c>
      <c r="AT138" s="131" t="s">
        <v>129</v>
      </c>
      <c r="AU138" s="131" t="s">
        <v>82</v>
      </c>
      <c r="AY138" s="90" t="s">
        <v>127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90" t="s">
        <v>80</v>
      </c>
      <c r="BK138" s="187">
        <f>ROUND(I138*H138,2)</f>
        <v>0</v>
      </c>
      <c r="BL138" s="90" t="s">
        <v>131</v>
      </c>
      <c r="BM138" s="131" t="s">
        <v>145</v>
      </c>
    </row>
    <row r="139" spans="2:65" s="189" customFormat="1" x14ac:dyDescent="0.2">
      <c r="B139" s="188"/>
      <c r="D139" s="190" t="s">
        <v>132</v>
      </c>
      <c r="E139" s="191"/>
      <c r="F139" s="192" t="s">
        <v>835</v>
      </c>
      <c r="H139" s="193">
        <f>(244.4+10+94.9+38.5+616)*1.6</f>
        <v>1606.08</v>
      </c>
      <c r="I139" s="82"/>
      <c r="L139" s="158"/>
      <c r="M139" s="194"/>
      <c r="T139" s="195"/>
      <c r="AT139" s="191" t="s">
        <v>132</v>
      </c>
      <c r="AU139" s="191" t="s">
        <v>82</v>
      </c>
      <c r="AV139" s="189" t="s">
        <v>82</v>
      </c>
      <c r="AW139" s="189" t="s">
        <v>30</v>
      </c>
      <c r="AX139" s="189" t="s">
        <v>72</v>
      </c>
      <c r="AY139" s="191" t="s">
        <v>127</v>
      </c>
    </row>
    <row r="140" spans="2:65" s="198" customFormat="1" x14ac:dyDescent="0.2">
      <c r="B140" s="197"/>
      <c r="D140" s="190" t="s">
        <v>132</v>
      </c>
      <c r="E140" s="199"/>
      <c r="F140" s="200" t="s">
        <v>133</v>
      </c>
      <c r="H140" s="201">
        <f>H139</f>
        <v>1606.08</v>
      </c>
      <c r="I140" s="83"/>
      <c r="L140" s="202"/>
      <c r="M140" s="203"/>
      <c r="T140" s="204"/>
      <c r="AT140" s="199" t="s">
        <v>132</v>
      </c>
      <c r="AU140" s="199" t="s">
        <v>82</v>
      </c>
      <c r="AV140" s="198" t="s">
        <v>131</v>
      </c>
      <c r="AW140" s="198" t="s">
        <v>30</v>
      </c>
      <c r="AX140" s="198" t="s">
        <v>80</v>
      </c>
      <c r="AY140" s="199" t="s">
        <v>127</v>
      </c>
    </row>
    <row r="141" spans="2:65" s="99" customFormat="1" ht="24.2" customHeight="1" x14ac:dyDescent="0.2">
      <c r="B141" s="98"/>
      <c r="C141" s="176">
        <v>5</v>
      </c>
      <c r="D141" s="176" t="s">
        <v>129</v>
      </c>
      <c r="E141" s="177"/>
      <c r="F141" s="178" t="s">
        <v>957</v>
      </c>
      <c r="G141" s="179" t="s">
        <v>130</v>
      </c>
      <c r="H141" s="180">
        <f>H144</f>
        <v>2456.7599999999998</v>
      </c>
      <c r="I141" s="80"/>
      <c r="J141" s="181">
        <f>ROUND(I141*H141,2)</f>
        <v>0</v>
      </c>
      <c r="K141" s="182"/>
      <c r="L141" s="196"/>
      <c r="M141" s="183" t="s">
        <v>1</v>
      </c>
      <c r="N141" s="184" t="s">
        <v>38</v>
      </c>
      <c r="P141" s="185">
        <f>O141*H141</f>
        <v>0</v>
      </c>
      <c r="Q141" s="185">
        <v>1.0000000000000001E-5</v>
      </c>
      <c r="R141" s="185">
        <f>Q141*H141</f>
        <v>2.4567599999999998E-2</v>
      </c>
      <c r="S141" s="185">
        <v>0.115</v>
      </c>
      <c r="T141" s="186">
        <f>S141*H141</f>
        <v>282.5274</v>
      </c>
      <c r="AR141" s="131" t="s">
        <v>131</v>
      </c>
      <c r="AT141" s="131" t="s">
        <v>129</v>
      </c>
      <c r="AU141" s="131" t="s">
        <v>82</v>
      </c>
      <c r="AY141" s="90" t="s">
        <v>127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90" t="s">
        <v>80</v>
      </c>
      <c r="BK141" s="187">
        <f>ROUND(I141*H141,2)</f>
        <v>0</v>
      </c>
      <c r="BL141" s="90" t="s">
        <v>131</v>
      </c>
      <c r="BM141" s="131" t="s">
        <v>147</v>
      </c>
    </row>
    <row r="142" spans="2:65" s="189" customFormat="1" x14ac:dyDescent="0.2">
      <c r="B142" s="188"/>
      <c r="D142" s="190" t="s">
        <v>132</v>
      </c>
      <c r="E142" s="191" t="s">
        <v>1</v>
      </c>
      <c r="F142" s="192" t="s">
        <v>836</v>
      </c>
      <c r="H142" s="193">
        <f xml:space="preserve"> (513+2.4+2.5+2.5+3+82)*2.4</f>
        <v>1452.9599999999998</v>
      </c>
      <c r="I142" s="82"/>
      <c r="L142" s="158"/>
      <c r="M142" s="194"/>
      <c r="T142" s="195"/>
      <c r="AT142" s="191" t="s">
        <v>132</v>
      </c>
      <c r="AU142" s="191" t="s">
        <v>82</v>
      </c>
      <c r="AV142" s="189" t="s">
        <v>82</v>
      </c>
      <c r="AW142" s="189" t="s">
        <v>30</v>
      </c>
      <c r="AX142" s="189" t="s">
        <v>72</v>
      </c>
      <c r="AY142" s="191" t="s">
        <v>127</v>
      </c>
    </row>
    <row r="143" spans="2:65" s="189" customFormat="1" x14ac:dyDescent="0.2">
      <c r="B143" s="188"/>
      <c r="D143" s="190" t="s">
        <v>132</v>
      </c>
      <c r="E143" s="191"/>
      <c r="F143" s="192" t="s">
        <v>958</v>
      </c>
      <c r="H143" s="193">
        <f>(244.4+10+94.9+38.5+616)*1</f>
        <v>1003.8</v>
      </c>
      <c r="I143" s="82"/>
      <c r="L143" s="158"/>
      <c r="M143" s="194"/>
      <c r="T143" s="195"/>
      <c r="AT143" s="191" t="s">
        <v>132</v>
      </c>
      <c r="AU143" s="191" t="s">
        <v>82</v>
      </c>
      <c r="AV143" s="189" t="s">
        <v>82</v>
      </c>
      <c r="AW143" s="189" t="s">
        <v>30</v>
      </c>
      <c r="AX143" s="189" t="s">
        <v>72</v>
      </c>
      <c r="AY143" s="191" t="s">
        <v>127</v>
      </c>
    </row>
    <row r="144" spans="2:65" s="198" customFormat="1" x14ac:dyDescent="0.2">
      <c r="B144" s="197"/>
      <c r="D144" s="190" t="s">
        <v>132</v>
      </c>
      <c r="E144" s="199" t="s">
        <v>1</v>
      </c>
      <c r="F144" s="200" t="s">
        <v>133</v>
      </c>
      <c r="H144" s="201">
        <f>SUM(H142:H143)</f>
        <v>2456.7599999999998</v>
      </c>
      <c r="I144" s="83"/>
      <c r="L144" s="202"/>
      <c r="M144" s="203"/>
      <c r="T144" s="204"/>
      <c r="AT144" s="199" t="s">
        <v>132</v>
      </c>
      <c r="AU144" s="199" t="s">
        <v>82</v>
      </c>
      <c r="AV144" s="198" t="s">
        <v>131</v>
      </c>
      <c r="AW144" s="198" t="s">
        <v>30</v>
      </c>
      <c r="AX144" s="198" t="s">
        <v>80</v>
      </c>
      <c r="AY144" s="199" t="s">
        <v>127</v>
      </c>
    </row>
    <row r="145" spans="2:65" s="99" customFormat="1" ht="24.2" customHeight="1" x14ac:dyDescent="0.2">
      <c r="B145" s="98"/>
      <c r="C145" s="205" t="s">
        <v>144</v>
      </c>
      <c r="D145" s="176" t="s">
        <v>129</v>
      </c>
      <c r="E145" s="177"/>
      <c r="F145" s="178" t="s">
        <v>959</v>
      </c>
      <c r="G145" s="179" t="s">
        <v>130</v>
      </c>
      <c r="H145" s="180">
        <f>H146</f>
        <v>605.4</v>
      </c>
      <c r="I145" s="80"/>
      <c r="J145" s="181">
        <f>ROUND(I145*H145,2)</f>
        <v>0</v>
      </c>
      <c r="K145" s="182"/>
      <c r="L145" s="196"/>
      <c r="M145" s="183" t="s">
        <v>1</v>
      </c>
      <c r="N145" s="184" t="s">
        <v>38</v>
      </c>
      <c r="P145" s="185">
        <f>O145*H145</f>
        <v>0</v>
      </c>
      <c r="Q145" s="185">
        <v>1.0000000000000001E-5</v>
      </c>
      <c r="R145" s="185">
        <f>Q145*H145</f>
        <v>6.0540000000000004E-3</v>
      </c>
      <c r="S145" s="185">
        <v>0.115</v>
      </c>
      <c r="T145" s="186">
        <f>S145*H145</f>
        <v>69.620999999999995</v>
      </c>
      <c r="AR145" s="131" t="s">
        <v>131</v>
      </c>
      <c r="AT145" s="131" t="s">
        <v>129</v>
      </c>
      <c r="AU145" s="131" t="s">
        <v>82</v>
      </c>
      <c r="AY145" s="90" t="s">
        <v>127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90" t="s">
        <v>80</v>
      </c>
      <c r="BK145" s="187">
        <f>ROUND(I145*H145,2)</f>
        <v>0</v>
      </c>
      <c r="BL145" s="90" t="s">
        <v>131</v>
      </c>
      <c r="BM145" s="131" t="s">
        <v>147</v>
      </c>
    </row>
    <row r="146" spans="2:65" s="189" customFormat="1" ht="22.5" x14ac:dyDescent="0.2">
      <c r="B146" s="188"/>
      <c r="D146" s="190" t="s">
        <v>132</v>
      </c>
      <c r="E146" s="191" t="s">
        <v>1</v>
      </c>
      <c r="F146" s="192" t="s">
        <v>960</v>
      </c>
      <c r="H146" s="193">
        <f xml:space="preserve"> (513+2.4+2.5+2.5+3+82)*1</f>
        <v>605.4</v>
      </c>
      <c r="I146" s="82"/>
      <c r="L146" s="158"/>
      <c r="M146" s="194"/>
      <c r="T146" s="195"/>
      <c r="AT146" s="191" t="s">
        <v>132</v>
      </c>
      <c r="AU146" s="191" t="s">
        <v>82</v>
      </c>
      <c r="AV146" s="189" t="s">
        <v>82</v>
      </c>
      <c r="AW146" s="189" t="s">
        <v>30</v>
      </c>
      <c r="AX146" s="189" t="s">
        <v>72</v>
      </c>
      <c r="AY146" s="191" t="s">
        <v>127</v>
      </c>
    </row>
    <row r="147" spans="2:65" s="99" customFormat="1" ht="24.2" customHeight="1" x14ac:dyDescent="0.2">
      <c r="B147" s="98"/>
      <c r="C147" s="176">
        <v>7</v>
      </c>
      <c r="D147" s="176" t="s">
        <v>129</v>
      </c>
      <c r="E147" s="177" t="s">
        <v>149</v>
      </c>
      <c r="F147" s="178" t="s">
        <v>150</v>
      </c>
      <c r="G147" s="179" t="s">
        <v>151</v>
      </c>
      <c r="H147" s="180">
        <v>40</v>
      </c>
      <c r="I147" s="80"/>
      <c r="J147" s="181">
        <f>ROUND(I147*H147,2)</f>
        <v>0</v>
      </c>
      <c r="K147" s="182"/>
      <c r="L147" s="196"/>
      <c r="M147" s="183" t="s">
        <v>1</v>
      </c>
      <c r="N147" s="184" t="s">
        <v>38</v>
      </c>
      <c r="P147" s="185">
        <f>O147*H147</f>
        <v>0</v>
      </c>
      <c r="Q147" s="185">
        <v>3.0000000000000001E-5</v>
      </c>
      <c r="R147" s="185">
        <f>Q147*H147</f>
        <v>1.2000000000000001E-3</v>
      </c>
      <c r="S147" s="185">
        <v>0</v>
      </c>
      <c r="T147" s="186">
        <f>S147*H147</f>
        <v>0</v>
      </c>
      <c r="AR147" s="131" t="s">
        <v>131</v>
      </c>
      <c r="AT147" s="131" t="s">
        <v>129</v>
      </c>
      <c r="AU147" s="131" t="s">
        <v>82</v>
      </c>
      <c r="AY147" s="90" t="s">
        <v>127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90" t="s">
        <v>80</v>
      </c>
      <c r="BK147" s="187">
        <f>ROUND(I147*H147,2)</f>
        <v>0</v>
      </c>
      <c r="BL147" s="90" t="s">
        <v>131</v>
      </c>
      <c r="BM147" s="131" t="s">
        <v>152</v>
      </c>
    </row>
    <row r="148" spans="2:65" s="99" customFormat="1" ht="24.2" customHeight="1" x14ac:dyDescent="0.2">
      <c r="B148" s="98"/>
      <c r="C148" s="176">
        <v>8</v>
      </c>
      <c r="D148" s="176" t="s">
        <v>129</v>
      </c>
      <c r="E148" s="177" t="s">
        <v>154</v>
      </c>
      <c r="F148" s="178" t="s">
        <v>155</v>
      </c>
      <c r="G148" s="179" t="s">
        <v>156</v>
      </c>
      <c r="H148" s="180">
        <v>5</v>
      </c>
      <c r="I148" s="80"/>
      <c r="J148" s="181">
        <f>ROUND(I148*H148,2)</f>
        <v>0</v>
      </c>
      <c r="K148" s="182"/>
      <c r="L148" s="196"/>
      <c r="M148" s="183" t="s">
        <v>1</v>
      </c>
      <c r="N148" s="184" t="s">
        <v>38</v>
      </c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AR148" s="131" t="s">
        <v>131</v>
      </c>
      <c r="AT148" s="131" t="s">
        <v>129</v>
      </c>
      <c r="AU148" s="131" t="s">
        <v>82</v>
      </c>
      <c r="AY148" s="90" t="s">
        <v>127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90" t="s">
        <v>80</v>
      </c>
      <c r="BK148" s="187">
        <f>ROUND(I148*H148,2)</f>
        <v>0</v>
      </c>
      <c r="BL148" s="90" t="s">
        <v>131</v>
      </c>
      <c r="BM148" s="131" t="s">
        <v>157</v>
      </c>
    </row>
    <row r="149" spans="2:65" s="99" customFormat="1" ht="24.2" customHeight="1" x14ac:dyDescent="0.2">
      <c r="B149" s="98"/>
      <c r="C149" s="176">
        <v>9</v>
      </c>
      <c r="D149" s="176" t="s">
        <v>129</v>
      </c>
      <c r="E149" s="177" t="s">
        <v>159</v>
      </c>
      <c r="F149" s="178" t="s">
        <v>821</v>
      </c>
      <c r="G149" s="179" t="s">
        <v>160</v>
      </c>
      <c r="H149" s="180">
        <v>21</v>
      </c>
      <c r="I149" s="80"/>
      <c r="J149" s="181">
        <f>ROUND(I149*H149,2)</f>
        <v>0</v>
      </c>
      <c r="K149" s="182"/>
      <c r="L149" s="196"/>
      <c r="M149" s="183" t="s">
        <v>1</v>
      </c>
      <c r="N149" s="184" t="s">
        <v>38</v>
      </c>
      <c r="P149" s="185">
        <f>O149*H149</f>
        <v>0</v>
      </c>
      <c r="Q149" s="185">
        <v>8.6800000000000002E-3</v>
      </c>
      <c r="R149" s="185">
        <f>Q149*H149</f>
        <v>0.18228</v>
      </c>
      <c r="S149" s="185">
        <v>0</v>
      </c>
      <c r="T149" s="186">
        <f>S149*H149</f>
        <v>0</v>
      </c>
      <c r="AR149" s="131" t="s">
        <v>131</v>
      </c>
      <c r="AT149" s="131" t="s">
        <v>129</v>
      </c>
      <c r="AU149" s="131" t="s">
        <v>82</v>
      </c>
      <c r="AY149" s="90" t="s">
        <v>127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90" t="s">
        <v>80</v>
      </c>
      <c r="BK149" s="187">
        <f>ROUND(I149*H149,2)</f>
        <v>0</v>
      </c>
      <c r="BL149" s="90" t="s">
        <v>131</v>
      </c>
      <c r="BM149" s="131" t="s">
        <v>161</v>
      </c>
    </row>
    <row r="150" spans="2:65" s="189" customFormat="1" x14ac:dyDescent="0.2">
      <c r="B150" s="188"/>
      <c r="D150" s="190" t="s">
        <v>132</v>
      </c>
      <c r="E150" s="191" t="s">
        <v>1</v>
      </c>
      <c r="F150" s="192" t="s">
        <v>162</v>
      </c>
      <c r="H150" s="193">
        <v>21</v>
      </c>
      <c r="I150" s="82"/>
      <c r="L150" s="158"/>
      <c r="M150" s="194"/>
      <c r="T150" s="195"/>
      <c r="AT150" s="191" t="s">
        <v>132</v>
      </c>
      <c r="AU150" s="191" t="s">
        <v>82</v>
      </c>
      <c r="AV150" s="189" t="s">
        <v>82</v>
      </c>
      <c r="AW150" s="189" t="s">
        <v>30</v>
      </c>
      <c r="AX150" s="189" t="s">
        <v>72</v>
      </c>
      <c r="AY150" s="191" t="s">
        <v>127</v>
      </c>
    </row>
    <row r="151" spans="2:65" s="198" customFormat="1" x14ac:dyDescent="0.2">
      <c r="B151" s="197"/>
      <c r="D151" s="190" t="s">
        <v>132</v>
      </c>
      <c r="E151" s="199" t="s">
        <v>1</v>
      </c>
      <c r="F151" s="200" t="s">
        <v>133</v>
      </c>
      <c r="H151" s="201">
        <v>21</v>
      </c>
      <c r="I151" s="83"/>
      <c r="L151" s="202"/>
      <c r="M151" s="203"/>
      <c r="T151" s="204"/>
      <c r="AT151" s="199" t="s">
        <v>132</v>
      </c>
      <c r="AU151" s="199" t="s">
        <v>82</v>
      </c>
      <c r="AV151" s="198" t="s">
        <v>131</v>
      </c>
      <c r="AW151" s="198" t="s">
        <v>30</v>
      </c>
      <c r="AX151" s="198" t="s">
        <v>80</v>
      </c>
      <c r="AY151" s="199" t="s">
        <v>127</v>
      </c>
    </row>
    <row r="152" spans="2:65" s="99" customFormat="1" ht="24.2" customHeight="1" x14ac:dyDescent="0.2">
      <c r="B152" s="98"/>
      <c r="C152" s="176">
        <v>10</v>
      </c>
      <c r="D152" s="176" t="s">
        <v>129</v>
      </c>
      <c r="E152" s="177" t="s">
        <v>164</v>
      </c>
      <c r="F152" s="178" t="s">
        <v>822</v>
      </c>
      <c r="G152" s="179" t="s">
        <v>160</v>
      </c>
      <c r="H152" s="180">
        <v>9</v>
      </c>
      <c r="I152" s="80"/>
      <c r="J152" s="181">
        <f>ROUND(I152*H152,2)</f>
        <v>0</v>
      </c>
      <c r="K152" s="182"/>
      <c r="L152" s="196"/>
      <c r="M152" s="183" t="s">
        <v>1</v>
      </c>
      <c r="N152" s="184" t="s">
        <v>38</v>
      </c>
      <c r="P152" s="185">
        <f>O152*H152</f>
        <v>0</v>
      </c>
      <c r="Q152" s="185">
        <v>1.068E-2</v>
      </c>
      <c r="R152" s="185">
        <f>Q152*H152</f>
        <v>9.6119999999999997E-2</v>
      </c>
      <c r="S152" s="185">
        <v>0</v>
      </c>
      <c r="T152" s="186">
        <f>S152*H152</f>
        <v>0</v>
      </c>
      <c r="AR152" s="131" t="s">
        <v>131</v>
      </c>
      <c r="AT152" s="131" t="s">
        <v>129</v>
      </c>
      <c r="AU152" s="131" t="s">
        <v>82</v>
      </c>
      <c r="AY152" s="90" t="s">
        <v>127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90" t="s">
        <v>80</v>
      </c>
      <c r="BK152" s="187">
        <f>ROUND(I152*H152,2)</f>
        <v>0</v>
      </c>
      <c r="BL152" s="90" t="s">
        <v>131</v>
      </c>
      <c r="BM152" s="131" t="s">
        <v>165</v>
      </c>
    </row>
    <row r="153" spans="2:65" s="189" customFormat="1" x14ac:dyDescent="0.2">
      <c r="B153" s="188"/>
      <c r="D153" s="190" t="s">
        <v>132</v>
      </c>
      <c r="E153" s="191" t="s">
        <v>1</v>
      </c>
      <c r="F153" s="192" t="s">
        <v>166</v>
      </c>
      <c r="H153" s="193">
        <v>9</v>
      </c>
      <c r="I153" s="82"/>
      <c r="L153" s="158"/>
      <c r="M153" s="194"/>
      <c r="T153" s="195"/>
      <c r="AT153" s="191" t="s">
        <v>132</v>
      </c>
      <c r="AU153" s="191" t="s">
        <v>82</v>
      </c>
      <c r="AV153" s="189" t="s">
        <v>82</v>
      </c>
      <c r="AW153" s="189" t="s">
        <v>30</v>
      </c>
      <c r="AX153" s="189" t="s">
        <v>72</v>
      </c>
      <c r="AY153" s="191" t="s">
        <v>127</v>
      </c>
    </row>
    <row r="154" spans="2:65" s="198" customFormat="1" x14ac:dyDescent="0.2">
      <c r="B154" s="197"/>
      <c r="D154" s="190" t="s">
        <v>132</v>
      </c>
      <c r="E154" s="199" t="s">
        <v>1</v>
      </c>
      <c r="F154" s="200" t="s">
        <v>133</v>
      </c>
      <c r="H154" s="201">
        <v>9</v>
      </c>
      <c r="I154" s="83"/>
      <c r="L154" s="202"/>
      <c r="M154" s="203"/>
      <c r="T154" s="204"/>
      <c r="AT154" s="199" t="s">
        <v>132</v>
      </c>
      <c r="AU154" s="199" t="s">
        <v>82</v>
      </c>
      <c r="AV154" s="198" t="s">
        <v>131</v>
      </c>
      <c r="AW154" s="198" t="s">
        <v>30</v>
      </c>
      <c r="AX154" s="198" t="s">
        <v>80</v>
      </c>
      <c r="AY154" s="199" t="s">
        <v>127</v>
      </c>
    </row>
    <row r="155" spans="2:65" s="99" customFormat="1" ht="24.2" customHeight="1" x14ac:dyDescent="0.2">
      <c r="B155" s="98"/>
      <c r="C155" s="176">
        <v>11</v>
      </c>
      <c r="D155" s="176" t="s">
        <v>129</v>
      </c>
      <c r="E155" s="177" t="s">
        <v>167</v>
      </c>
      <c r="F155" s="178" t="s">
        <v>823</v>
      </c>
      <c r="G155" s="179" t="s">
        <v>160</v>
      </c>
      <c r="H155" s="180">
        <v>6</v>
      </c>
      <c r="I155" s="80"/>
      <c r="J155" s="181">
        <f>ROUND(I155*H155,2)</f>
        <v>0</v>
      </c>
      <c r="K155" s="182"/>
      <c r="L155" s="196"/>
      <c r="M155" s="183" t="s">
        <v>1</v>
      </c>
      <c r="N155" s="184" t="s">
        <v>38</v>
      </c>
      <c r="P155" s="185">
        <f>O155*H155</f>
        <v>0</v>
      </c>
      <c r="Q155" s="185">
        <v>1.269E-2</v>
      </c>
      <c r="R155" s="185">
        <f>Q155*H155</f>
        <v>7.6139999999999999E-2</v>
      </c>
      <c r="S155" s="185">
        <v>0</v>
      </c>
      <c r="T155" s="186">
        <f>S155*H155</f>
        <v>0</v>
      </c>
      <c r="AR155" s="131" t="s">
        <v>131</v>
      </c>
      <c r="AT155" s="131" t="s">
        <v>129</v>
      </c>
      <c r="AU155" s="131" t="s">
        <v>82</v>
      </c>
      <c r="AY155" s="90" t="s">
        <v>127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90" t="s">
        <v>80</v>
      </c>
      <c r="BK155" s="187">
        <f>ROUND(I155*H155,2)</f>
        <v>0</v>
      </c>
      <c r="BL155" s="90" t="s">
        <v>131</v>
      </c>
      <c r="BM155" s="131" t="s">
        <v>168</v>
      </c>
    </row>
    <row r="156" spans="2:65" s="189" customFormat="1" x14ac:dyDescent="0.2">
      <c r="B156" s="188"/>
      <c r="D156" s="190" t="s">
        <v>132</v>
      </c>
      <c r="E156" s="191" t="s">
        <v>1</v>
      </c>
      <c r="F156" s="192" t="s">
        <v>169</v>
      </c>
      <c r="H156" s="193">
        <v>6</v>
      </c>
      <c r="I156" s="82"/>
      <c r="L156" s="158"/>
      <c r="M156" s="194"/>
      <c r="T156" s="195"/>
      <c r="AT156" s="191" t="s">
        <v>132</v>
      </c>
      <c r="AU156" s="191" t="s">
        <v>82</v>
      </c>
      <c r="AV156" s="189" t="s">
        <v>82</v>
      </c>
      <c r="AW156" s="189" t="s">
        <v>30</v>
      </c>
      <c r="AX156" s="189" t="s">
        <v>72</v>
      </c>
      <c r="AY156" s="191" t="s">
        <v>127</v>
      </c>
    </row>
    <row r="157" spans="2:65" s="198" customFormat="1" x14ac:dyDescent="0.2">
      <c r="B157" s="197"/>
      <c r="D157" s="190" t="s">
        <v>132</v>
      </c>
      <c r="E157" s="199" t="s">
        <v>1</v>
      </c>
      <c r="F157" s="200" t="s">
        <v>133</v>
      </c>
      <c r="H157" s="201">
        <v>6</v>
      </c>
      <c r="I157" s="83"/>
      <c r="L157" s="202"/>
      <c r="M157" s="203"/>
      <c r="T157" s="204"/>
      <c r="AT157" s="199" t="s">
        <v>132</v>
      </c>
      <c r="AU157" s="199" t="s">
        <v>82</v>
      </c>
      <c r="AV157" s="198" t="s">
        <v>131</v>
      </c>
      <c r="AW157" s="198" t="s">
        <v>30</v>
      </c>
      <c r="AX157" s="198" t="s">
        <v>80</v>
      </c>
      <c r="AY157" s="199" t="s">
        <v>127</v>
      </c>
    </row>
    <row r="158" spans="2:65" s="99" customFormat="1" ht="24.2" customHeight="1" x14ac:dyDescent="0.2">
      <c r="B158" s="98"/>
      <c r="C158" s="176">
        <v>12</v>
      </c>
      <c r="D158" s="176" t="s">
        <v>129</v>
      </c>
      <c r="E158" s="177" t="s">
        <v>171</v>
      </c>
      <c r="F158" s="178" t="s">
        <v>824</v>
      </c>
      <c r="G158" s="179" t="s">
        <v>160</v>
      </c>
      <c r="H158" s="180">
        <v>47</v>
      </c>
      <c r="I158" s="80"/>
      <c r="J158" s="181">
        <f>ROUND(I158*H158,2)</f>
        <v>0</v>
      </c>
      <c r="K158" s="182"/>
      <c r="L158" s="196"/>
      <c r="M158" s="183" t="s">
        <v>1</v>
      </c>
      <c r="N158" s="184" t="s">
        <v>38</v>
      </c>
      <c r="P158" s="185">
        <f>O158*H158</f>
        <v>0</v>
      </c>
      <c r="Q158" s="185">
        <v>3.6900000000000002E-2</v>
      </c>
      <c r="R158" s="185">
        <f>Q158*H158</f>
        <v>1.7343000000000002</v>
      </c>
      <c r="S158" s="185">
        <v>0</v>
      </c>
      <c r="T158" s="186">
        <f>S158*H158</f>
        <v>0</v>
      </c>
      <c r="AR158" s="131" t="s">
        <v>131</v>
      </c>
      <c r="AT158" s="131" t="s">
        <v>129</v>
      </c>
      <c r="AU158" s="131" t="s">
        <v>82</v>
      </c>
      <c r="AY158" s="90" t="s">
        <v>127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90" t="s">
        <v>80</v>
      </c>
      <c r="BK158" s="187">
        <f>ROUND(I158*H158,2)</f>
        <v>0</v>
      </c>
      <c r="BL158" s="90" t="s">
        <v>131</v>
      </c>
      <c r="BM158" s="131" t="s">
        <v>172</v>
      </c>
    </row>
    <row r="159" spans="2:65" s="189" customFormat="1" x14ac:dyDescent="0.2">
      <c r="B159" s="188"/>
      <c r="D159" s="190" t="s">
        <v>132</v>
      </c>
      <c r="E159" s="191" t="s">
        <v>1</v>
      </c>
      <c r="F159" s="192" t="s">
        <v>173</v>
      </c>
      <c r="H159" s="193">
        <v>47</v>
      </c>
      <c r="I159" s="82"/>
      <c r="L159" s="158"/>
      <c r="M159" s="194"/>
      <c r="T159" s="195"/>
      <c r="AT159" s="191" t="s">
        <v>132</v>
      </c>
      <c r="AU159" s="191" t="s">
        <v>82</v>
      </c>
      <c r="AV159" s="189" t="s">
        <v>82</v>
      </c>
      <c r="AW159" s="189" t="s">
        <v>30</v>
      </c>
      <c r="AX159" s="189" t="s">
        <v>72</v>
      </c>
      <c r="AY159" s="191" t="s">
        <v>127</v>
      </c>
    </row>
    <row r="160" spans="2:65" s="198" customFormat="1" x14ac:dyDescent="0.2">
      <c r="B160" s="197"/>
      <c r="D160" s="190" t="s">
        <v>132</v>
      </c>
      <c r="E160" s="199" t="s">
        <v>1</v>
      </c>
      <c r="F160" s="200" t="s">
        <v>133</v>
      </c>
      <c r="H160" s="201">
        <v>47</v>
      </c>
      <c r="I160" s="83"/>
      <c r="L160" s="202"/>
      <c r="M160" s="203"/>
      <c r="T160" s="204"/>
      <c r="AT160" s="199" t="s">
        <v>132</v>
      </c>
      <c r="AU160" s="199" t="s">
        <v>82</v>
      </c>
      <c r="AV160" s="198" t="s">
        <v>131</v>
      </c>
      <c r="AW160" s="198" t="s">
        <v>30</v>
      </c>
      <c r="AX160" s="198" t="s">
        <v>80</v>
      </c>
      <c r="AY160" s="199" t="s">
        <v>127</v>
      </c>
    </row>
    <row r="161" spans="2:65" s="99" customFormat="1" ht="24.2" customHeight="1" x14ac:dyDescent="0.2">
      <c r="B161" s="98"/>
      <c r="C161" s="176">
        <v>13</v>
      </c>
      <c r="D161" s="176" t="s">
        <v>129</v>
      </c>
      <c r="E161" s="177" t="s">
        <v>175</v>
      </c>
      <c r="F161" s="178" t="s">
        <v>1053</v>
      </c>
      <c r="G161" s="179" t="s">
        <v>130</v>
      </c>
      <c r="H161" s="180">
        <f>H163</f>
        <v>212</v>
      </c>
      <c r="I161" s="80"/>
      <c r="J161" s="181">
        <f>ROUND(I161*H161,2)</f>
        <v>0</v>
      </c>
      <c r="K161" s="182"/>
      <c r="L161" s="196"/>
      <c r="M161" s="183" t="s">
        <v>1</v>
      </c>
      <c r="N161" s="184" t="s">
        <v>38</v>
      </c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AR161" s="131" t="s">
        <v>131</v>
      </c>
      <c r="AT161" s="131" t="s">
        <v>129</v>
      </c>
      <c r="AU161" s="131" t="s">
        <v>82</v>
      </c>
      <c r="AY161" s="90" t="s">
        <v>127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90" t="s">
        <v>80</v>
      </c>
      <c r="BK161" s="187">
        <f>ROUND(I161*H161,2)</f>
        <v>0</v>
      </c>
      <c r="BL161" s="90" t="s">
        <v>131</v>
      </c>
      <c r="BM161" s="131" t="s">
        <v>176</v>
      </c>
    </row>
    <row r="162" spans="2:65" s="207" customFormat="1" x14ac:dyDescent="0.2">
      <c r="B162" s="206"/>
      <c r="D162" s="190" t="s">
        <v>132</v>
      </c>
      <c r="E162" s="208" t="s">
        <v>1</v>
      </c>
      <c r="F162" s="209" t="s">
        <v>143</v>
      </c>
      <c r="H162" s="208" t="s">
        <v>1</v>
      </c>
      <c r="I162" s="84"/>
      <c r="L162" s="210"/>
      <c r="M162" s="211"/>
      <c r="T162" s="212"/>
      <c r="AT162" s="208" t="s">
        <v>132</v>
      </c>
      <c r="AU162" s="208" t="s">
        <v>82</v>
      </c>
      <c r="AV162" s="207" t="s">
        <v>80</v>
      </c>
      <c r="AW162" s="207" t="s">
        <v>30</v>
      </c>
      <c r="AX162" s="207" t="s">
        <v>72</v>
      </c>
      <c r="AY162" s="208" t="s">
        <v>127</v>
      </c>
    </row>
    <row r="163" spans="2:65" s="189" customFormat="1" x14ac:dyDescent="0.2">
      <c r="B163" s="188"/>
      <c r="D163" s="190" t="s">
        <v>132</v>
      </c>
      <c r="E163" s="191" t="s">
        <v>1</v>
      </c>
      <c r="F163" s="192" t="s">
        <v>837</v>
      </c>
      <c r="H163" s="158">
        <f>(54+32+14+100+12)*1</f>
        <v>212</v>
      </c>
      <c r="I163" s="82"/>
      <c r="L163" s="158"/>
      <c r="M163" s="194"/>
      <c r="T163" s="195"/>
      <c r="AT163" s="191" t="s">
        <v>132</v>
      </c>
      <c r="AU163" s="191" t="s">
        <v>82</v>
      </c>
      <c r="AV163" s="189" t="s">
        <v>82</v>
      </c>
      <c r="AW163" s="189" t="s">
        <v>30</v>
      </c>
      <c r="AX163" s="189" t="s">
        <v>72</v>
      </c>
      <c r="AY163" s="191" t="s">
        <v>127</v>
      </c>
    </row>
    <row r="164" spans="2:65" s="99" customFormat="1" ht="33" customHeight="1" x14ac:dyDescent="0.2">
      <c r="B164" s="98"/>
      <c r="C164" s="176">
        <v>14</v>
      </c>
      <c r="D164" s="176" t="s">
        <v>129</v>
      </c>
      <c r="E164" s="177" t="s">
        <v>178</v>
      </c>
      <c r="F164" s="178" t="s">
        <v>179</v>
      </c>
      <c r="G164" s="179" t="s">
        <v>180</v>
      </c>
      <c r="H164" s="180">
        <f>H179</f>
        <v>1456.5509999999999</v>
      </c>
      <c r="I164" s="80"/>
      <c r="J164" s="181">
        <f>ROUND(I164*H164,2)</f>
        <v>0</v>
      </c>
      <c r="K164" s="182"/>
      <c r="L164" s="196"/>
      <c r="M164" s="183" t="s">
        <v>1</v>
      </c>
      <c r="N164" s="184" t="s">
        <v>38</v>
      </c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AR164" s="131" t="s">
        <v>131</v>
      </c>
      <c r="AT164" s="131" t="s">
        <v>129</v>
      </c>
      <c r="AU164" s="131" t="s">
        <v>82</v>
      </c>
      <c r="AY164" s="90" t="s">
        <v>127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90" t="s">
        <v>80</v>
      </c>
      <c r="BK164" s="187">
        <f>ROUND(I164*H164,2)</f>
        <v>0</v>
      </c>
      <c r="BL164" s="90" t="s">
        <v>131</v>
      </c>
      <c r="BM164" s="131" t="s">
        <v>181</v>
      </c>
    </row>
    <row r="165" spans="2:65" s="207" customFormat="1" x14ac:dyDescent="0.2">
      <c r="B165" s="206"/>
      <c r="D165" s="190" t="s">
        <v>132</v>
      </c>
      <c r="E165" s="208" t="s">
        <v>1</v>
      </c>
      <c r="F165" s="209" t="s">
        <v>143</v>
      </c>
      <c r="H165" s="208" t="s">
        <v>1</v>
      </c>
      <c r="I165" s="84"/>
      <c r="L165" s="210"/>
      <c r="M165" s="211"/>
      <c r="T165" s="212"/>
      <c r="AT165" s="208" t="s">
        <v>132</v>
      </c>
      <c r="AU165" s="208" t="s">
        <v>82</v>
      </c>
      <c r="AV165" s="207" t="s">
        <v>80</v>
      </c>
      <c r="AW165" s="207" t="s">
        <v>30</v>
      </c>
      <c r="AX165" s="207" t="s">
        <v>72</v>
      </c>
      <c r="AY165" s="208" t="s">
        <v>127</v>
      </c>
    </row>
    <row r="166" spans="2:65" s="189" customFormat="1" x14ac:dyDescent="0.2">
      <c r="B166" s="188"/>
      <c r="D166" s="190" t="s">
        <v>132</v>
      </c>
      <c r="E166" s="191" t="s">
        <v>1</v>
      </c>
      <c r="F166" s="192" t="s">
        <v>182</v>
      </c>
      <c r="H166" s="193">
        <v>909.50199999999995</v>
      </c>
      <c r="I166" s="82"/>
      <c r="L166" s="158"/>
      <c r="M166" s="194"/>
      <c r="T166" s="195"/>
      <c r="AT166" s="191" t="s">
        <v>132</v>
      </c>
      <c r="AU166" s="191" t="s">
        <v>82</v>
      </c>
      <c r="AV166" s="189" t="s">
        <v>82</v>
      </c>
      <c r="AW166" s="189" t="s">
        <v>30</v>
      </c>
      <c r="AX166" s="189" t="s">
        <v>72</v>
      </c>
      <c r="AY166" s="191" t="s">
        <v>127</v>
      </c>
    </row>
    <row r="167" spans="2:65" s="189" customFormat="1" x14ac:dyDescent="0.2">
      <c r="B167" s="188"/>
      <c r="D167" s="190" t="s">
        <v>132</v>
      </c>
      <c r="E167" s="191" t="s">
        <v>1</v>
      </c>
      <c r="F167" s="192" t="s">
        <v>183</v>
      </c>
      <c r="H167" s="193">
        <v>90.866</v>
      </c>
      <c r="I167" s="82"/>
      <c r="L167" s="158"/>
      <c r="M167" s="194"/>
      <c r="T167" s="195"/>
      <c r="AT167" s="191" t="s">
        <v>132</v>
      </c>
      <c r="AU167" s="191" t="s">
        <v>82</v>
      </c>
      <c r="AV167" s="189" t="s">
        <v>82</v>
      </c>
      <c r="AW167" s="189" t="s">
        <v>30</v>
      </c>
      <c r="AX167" s="189" t="s">
        <v>72</v>
      </c>
      <c r="AY167" s="191" t="s">
        <v>127</v>
      </c>
    </row>
    <row r="168" spans="2:65" s="189" customFormat="1" x14ac:dyDescent="0.2">
      <c r="B168" s="188"/>
      <c r="D168" s="190" t="s">
        <v>132</v>
      </c>
      <c r="E168" s="191" t="s">
        <v>1</v>
      </c>
      <c r="F168" s="192" t="s">
        <v>184</v>
      </c>
      <c r="H168" s="193">
        <v>104.61</v>
      </c>
      <c r="I168" s="82"/>
      <c r="L168" s="158"/>
      <c r="M168" s="194"/>
      <c r="T168" s="195"/>
      <c r="AT168" s="191" t="s">
        <v>132</v>
      </c>
      <c r="AU168" s="191" t="s">
        <v>82</v>
      </c>
      <c r="AV168" s="189" t="s">
        <v>82</v>
      </c>
      <c r="AW168" s="189" t="s">
        <v>30</v>
      </c>
      <c r="AX168" s="189" t="s">
        <v>72</v>
      </c>
      <c r="AY168" s="191" t="s">
        <v>127</v>
      </c>
    </row>
    <row r="169" spans="2:65" s="189" customFormat="1" x14ac:dyDescent="0.2">
      <c r="B169" s="188"/>
      <c r="D169" s="190" t="s">
        <v>132</v>
      </c>
      <c r="E169" s="191" t="s">
        <v>1</v>
      </c>
      <c r="F169" s="192" t="s">
        <v>185</v>
      </c>
      <c r="H169" s="193">
        <v>144.77799999999999</v>
      </c>
      <c r="I169" s="82"/>
      <c r="L169" s="158"/>
      <c r="M169" s="194"/>
      <c r="T169" s="195"/>
      <c r="AT169" s="191" t="s">
        <v>132</v>
      </c>
      <c r="AU169" s="191" t="s">
        <v>82</v>
      </c>
      <c r="AV169" s="189" t="s">
        <v>82</v>
      </c>
      <c r="AW169" s="189" t="s">
        <v>30</v>
      </c>
      <c r="AX169" s="189" t="s">
        <v>72</v>
      </c>
      <c r="AY169" s="191" t="s">
        <v>127</v>
      </c>
    </row>
    <row r="170" spans="2:65" s="189" customFormat="1" x14ac:dyDescent="0.2">
      <c r="B170" s="188"/>
      <c r="D170" s="190" t="s">
        <v>132</v>
      </c>
      <c r="E170" s="191" t="s">
        <v>1</v>
      </c>
      <c r="F170" s="192" t="s">
        <v>186</v>
      </c>
      <c r="H170" s="193">
        <v>425.33800000000002</v>
      </c>
      <c r="I170" s="82"/>
      <c r="L170" s="158"/>
      <c r="M170" s="194"/>
      <c r="T170" s="195"/>
      <c r="AT170" s="191" t="s">
        <v>132</v>
      </c>
      <c r="AU170" s="191" t="s">
        <v>82</v>
      </c>
      <c r="AV170" s="189" t="s">
        <v>82</v>
      </c>
      <c r="AW170" s="189" t="s">
        <v>30</v>
      </c>
      <c r="AX170" s="189" t="s">
        <v>72</v>
      </c>
      <c r="AY170" s="191" t="s">
        <v>127</v>
      </c>
    </row>
    <row r="171" spans="2:65" s="189" customFormat="1" x14ac:dyDescent="0.2">
      <c r="B171" s="188"/>
      <c r="D171" s="190" t="s">
        <v>132</v>
      </c>
      <c r="E171" s="191" t="s">
        <v>1</v>
      </c>
      <c r="F171" s="192" t="s">
        <v>187</v>
      </c>
      <c r="H171" s="193">
        <v>189.36500000000001</v>
      </c>
      <c r="I171" s="82"/>
      <c r="L171" s="158"/>
      <c r="M171" s="194"/>
      <c r="T171" s="195"/>
      <c r="AT171" s="191" t="s">
        <v>132</v>
      </c>
      <c r="AU171" s="191" t="s">
        <v>82</v>
      </c>
      <c r="AV171" s="189" t="s">
        <v>82</v>
      </c>
      <c r="AW171" s="189" t="s">
        <v>30</v>
      </c>
      <c r="AX171" s="189" t="s">
        <v>72</v>
      </c>
      <c r="AY171" s="191" t="s">
        <v>127</v>
      </c>
    </row>
    <row r="172" spans="2:65" s="189" customFormat="1" x14ac:dyDescent="0.2">
      <c r="B172" s="188"/>
      <c r="D172" s="190" t="s">
        <v>132</v>
      </c>
      <c r="E172" s="191" t="s">
        <v>1</v>
      </c>
      <c r="F172" s="192" t="s">
        <v>188</v>
      </c>
      <c r="H172" s="193">
        <v>127.122</v>
      </c>
      <c r="I172" s="82"/>
      <c r="L172" s="158"/>
      <c r="M172" s="194"/>
      <c r="T172" s="195"/>
      <c r="AT172" s="191" t="s">
        <v>132</v>
      </c>
      <c r="AU172" s="191" t="s">
        <v>82</v>
      </c>
      <c r="AV172" s="189" t="s">
        <v>82</v>
      </c>
      <c r="AW172" s="189" t="s">
        <v>30</v>
      </c>
      <c r="AX172" s="189" t="s">
        <v>72</v>
      </c>
      <c r="AY172" s="191" t="s">
        <v>127</v>
      </c>
    </row>
    <row r="173" spans="2:65" s="189" customFormat="1" x14ac:dyDescent="0.2">
      <c r="B173" s="188"/>
      <c r="D173" s="190" t="s">
        <v>132</v>
      </c>
      <c r="E173" s="191" t="s">
        <v>1</v>
      </c>
      <c r="F173" s="192" t="s">
        <v>189</v>
      </c>
      <c r="H173" s="193">
        <v>518.22799999999995</v>
      </c>
      <c r="I173" s="82"/>
      <c r="L173" s="158"/>
      <c r="M173" s="194"/>
      <c r="T173" s="195"/>
      <c r="AT173" s="191" t="s">
        <v>132</v>
      </c>
      <c r="AU173" s="191" t="s">
        <v>82</v>
      </c>
      <c r="AV173" s="189" t="s">
        <v>82</v>
      </c>
      <c r="AW173" s="189" t="s">
        <v>30</v>
      </c>
      <c r="AX173" s="189" t="s">
        <v>72</v>
      </c>
      <c r="AY173" s="191" t="s">
        <v>127</v>
      </c>
    </row>
    <row r="174" spans="2:65" s="189" customFormat="1" x14ac:dyDescent="0.2">
      <c r="B174" s="188"/>
      <c r="D174" s="190" t="s">
        <v>132</v>
      </c>
      <c r="E174" s="191" t="s">
        <v>1</v>
      </c>
      <c r="F174" s="192" t="s">
        <v>190</v>
      </c>
      <c r="H174" s="193">
        <v>750.57399999999996</v>
      </c>
      <c r="I174" s="82"/>
      <c r="L174" s="158"/>
      <c r="M174" s="194"/>
      <c r="T174" s="195"/>
      <c r="AT174" s="191" t="s">
        <v>132</v>
      </c>
      <c r="AU174" s="191" t="s">
        <v>82</v>
      </c>
      <c r="AV174" s="189" t="s">
        <v>82</v>
      </c>
      <c r="AW174" s="189" t="s">
        <v>30</v>
      </c>
      <c r="AX174" s="189" t="s">
        <v>72</v>
      </c>
      <c r="AY174" s="191" t="s">
        <v>127</v>
      </c>
    </row>
    <row r="175" spans="2:65" s="189" customFormat="1" x14ac:dyDescent="0.2">
      <c r="B175" s="188"/>
      <c r="D175" s="190" t="s">
        <v>132</v>
      </c>
      <c r="E175" s="191" t="s">
        <v>1</v>
      </c>
      <c r="F175" s="192" t="s">
        <v>191</v>
      </c>
      <c r="H175" s="193">
        <v>32.130000000000003</v>
      </c>
      <c r="I175" s="82"/>
      <c r="L175" s="158"/>
      <c r="M175" s="194"/>
      <c r="T175" s="195"/>
      <c r="AT175" s="191" t="s">
        <v>132</v>
      </c>
      <c r="AU175" s="191" t="s">
        <v>82</v>
      </c>
      <c r="AV175" s="189" t="s">
        <v>82</v>
      </c>
      <c r="AW175" s="189" t="s">
        <v>30</v>
      </c>
      <c r="AX175" s="189" t="s">
        <v>72</v>
      </c>
      <c r="AY175" s="191" t="s">
        <v>127</v>
      </c>
    </row>
    <row r="176" spans="2:65" s="189" customFormat="1" ht="33.75" x14ac:dyDescent="0.2">
      <c r="B176" s="188"/>
      <c r="D176" s="190" t="s">
        <v>132</v>
      </c>
      <c r="E176" s="191" t="s">
        <v>1</v>
      </c>
      <c r="F176" s="192" t="s">
        <v>825</v>
      </c>
      <c r="H176" s="193">
        <f>-((1*0.6*605.4)+(1*0.36*1003.8)+(1*0.45*121.6)+(1*0.2*212))</f>
        <v>-821.72799999999995</v>
      </c>
      <c r="I176" s="82"/>
      <c r="L176" s="158"/>
      <c r="M176" s="194"/>
      <c r="T176" s="195"/>
      <c r="AT176" s="191" t="s">
        <v>132</v>
      </c>
      <c r="AU176" s="191" t="s">
        <v>82</v>
      </c>
      <c r="AV176" s="189" t="s">
        <v>82</v>
      </c>
      <c r="AW176" s="189" t="s">
        <v>30</v>
      </c>
      <c r="AX176" s="189" t="s">
        <v>72</v>
      </c>
      <c r="AY176" s="191" t="s">
        <v>127</v>
      </c>
    </row>
    <row r="177" spans="2:65" s="189" customFormat="1" x14ac:dyDescent="0.2">
      <c r="B177" s="188"/>
      <c r="D177" s="190"/>
      <c r="E177" s="191"/>
      <c r="F177" s="192" t="s">
        <v>829</v>
      </c>
      <c r="H177" s="193">
        <f>-H184</f>
        <v>-43.2</v>
      </c>
      <c r="I177" s="82"/>
      <c r="L177" s="158"/>
      <c r="M177" s="194"/>
      <c r="T177" s="195"/>
      <c r="AT177" s="191"/>
      <c r="AU177" s="191"/>
      <c r="AY177" s="191"/>
    </row>
    <row r="178" spans="2:65" s="198" customFormat="1" x14ac:dyDescent="0.2">
      <c r="B178" s="197"/>
      <c r="D178" s="190" t="s">
        <v>132</v>
      </c>
      <c r="E178" s="199" t="s">
        <v>1</v>
      </c>
      <c r="F178" s="200" t="s">
        <v>133</v>
      </c>
      <c r="H178" s="201">
        <f>SUM(H166:H177)</f>
        <v>2427.585</v>
      </c>
      <c r="I178" s="83"/>
      <c r="L178" s="202"/>
      <c r="M178" s="203"/>
      <c r="T178" s="204"/>
      <c r="AT178" s="199" t="s">
        <v>132</v>
      </c>
      <c r="AU178" s="199" t="s">
        <v>82</v>
      </c>
      <c r="AV178" s="198" t="s">
        <v>131</v>
      </c>
      <c r="AW178" s="198" t="s">
        <v>30</v>
      </c>
      <c r="AX178" s="198" t="s">
        <v>72</v>
      </c>
      <c r="AY178" s="199" t="s">
        <v>127</v>
      </c>
    </row>
    <row r="179" spans="2:65" s="189" customFormat="1" x14ac:dyDescent="0.2">
      <c r="B179" s="188"/>
      <c r="D179" s="190" t="s">
        <v>132</v>
      </c>
      <c r="E179" s="191" t="s">
        <v>1</v>
      </c>
      <c r="F179" s="192" t="s">
        <v>826</v>
      </c>
      <c r="H179" s="193">
        <f>H178*0.6</f>
        <v>1456.5509999999999</v>
      </c>
      <c r="I179" s="82"/>
      <c r="L179" s="158"/>
      <c r="M179" s="194"/>
      <c r="T179" s="195"/>
      <c r="AT179" s="191" t="s">
        <v>132</v>
      </c>
      <c r="AU179" s="191" t="s">
        <v>82</v>
      </c>
      <c r="AV179" s="189" t="s">
        <v>82</v>
      </c>
      <c r="AW179" s="189" t="s">
        <v>30</v>
      </c>
      <c r="AX179" s="189" t="s">
        <v>80</v>
      </c>
      <c r="AY179" s="191" t="s">
        <v>127</v>
      </c>
    </row>
    <row r="180" spans="2:65" s="99" customFormat="1" ht="33" customHeight="1" x14ac:dyDescent="0.2">
      <c r="B180" s="98"/>
      <c r="C180" s="176">
        <v>15</v>
      </c>
      <c r="D180" s="176" t="s">
        <v>129</v>
      </c>
      <c r="E180" s="177" t="s">
        <v>192</v>
      </c>
      <c r="F180" s="178" t="s">
        <v>193</v>
      </c>
      <c r="G180" s="179" t="s">
        <v>180</v>
      </c>
      <c r="H180" s="180">
        <f>H182</f>
        <v>971.03400000000011</v>
      </c>
      <c r="I180" s="80"/>
      <c r="J180" s="181">
        <f>ROUND(I180*H180,2)</f>
        <v>0</v>
      </c>
      <c r="K180" s="182"/>
      <c r="L180" s="196"/>
      <c r="M180" s="183" t="s">
        <v>1</v>
      </c>
      <c r="N180" s="184" t="s">
        <v>38</v>
      </c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AR180" s="131" t="s">
        <v>131</v>
      </c>
      <c r="AT180" s="131" t="s">
        <v>129</v>
      </c>
      <c r="AU180" s="131" t="s">
        <v>82</v>
      </c>
      <c r="AY180" s="90" t="s">
        <v>127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90" t="s">
        <v>80</v>
      </c>
      <c r="BK180" s="187">
        <f>ROUND(I180*H180,2)</f>
        <v>0</v>
      </c>
      <c r="BL180" s="90" t="s">
        <v>131</v>
      </c>
      <c r="BM180" s="131" t="s">
        <v>194</v>
      </c>
    </row>
    <row r="181" spans="2:65" s="189" customFormat="1" x14ac:dyDescent="0.2">
      <c r="B181" s="188"/>
      <c r="D181" s="190" t="s">
        <v>132</v>
      </c>
      <c r="E181" s="191" t="s">
        <v>1</v>
      </c>
      <c r="F181" s="192" t="s">
        <v>830</v>
      </c>
      <c r="H181" s="193">
        <f>0.4*H178</f>
        <v>971.03400000000011</v>
      </c>
      <c r="I181" s="82"/>
      <c r="L181" s="158"/>
      <c r="M181" s="194"/>
      <c r="T181" s="195"/>
      <c r="AT181" s="191" t="s">
        <v>132</v>
      </c>
      <c r="AU181" s="191" t="s">
        <v>82</v>
      </c>
      <c r="AV181" s="189" t="s">
        <v>82</v>
      </c>
      <c r="AW181" s="189" t="s">
        <v>30</v>
      </c>
      <c r="AX181" s="189" t="s">
        <v>72</v>
      </c>
      <c r="AY181" s="191" t="s">
        <v>127</v>
      </c>
    </row>
    <row r="182" spans="2:65" s="198" customFormat="1" x14ac:dyDescent="0.2">
      <c r="B182" s="197"/>
      <c r="D182" s="190" t="s">
        <v>132</v>
      </c>
      <c r="E182" s="199" t="s">
        <v>1</v>
      </c>
      <c r="F182" s="200" t="s">
        <v>133</v>
      </c>
      <c r="H182" s="201">
        <f>H181</f>
        <v>971.03400000000011</v>
      </c>
      <c r="I182" s="83"/>
      <c r="L182" s="202"/>
      <c r="M182" s="203"/>
      <c r="T182" s="204"/>
      <c r="AT182" s="199" t="s">
        <v>132</v>
      </c>
      <c r="AU182" s="199" t="s">
        <v>82</v>
      </c>
      <c r="AV182" s="198" t="s">
        <v>131</v>
      </c>
      <c r="AW182" s="198" t="s">
        <v>30</v>
      </c>
      <c r="AX182" s="198" t="s">
        <v>80</v>
      </c>
      <c r="AY182" s="199" t="s">
        <v>127</v>
      </c>
    </row>
    <row r="183" spans="2:65" s="99" customFormat="1" ht="16.5" customHeight="1" x14ac:dyDescent="0.2">
      <c r="B183" s="98"/>
      <c r="C183" s="176">
        <v>16</v>
      </c>
      <c r="D183" s="176" t="s">
        <v>129</v>
      </c>
      <c r="E183" s="177" t="s">
        <v>195</v>
      </c>
      <c r="F183" s="178" t="s">
        <v>828</v>
      </c>
      <c r="G183" s="179" t="s">
        <v>180</v>
      </c>
      <c r="H183" s="180">
        <f>H184</f>
        <v>43.2</v>
      </c>
      <c r="I183" s="80"/>
      <c r="J183" s="181">
        <f>ROUND(I183*H183,2)</f>
        <v>0</v>
      </c>
      <c r="K183" s="182"/>
      <c r="L183" s="196"/>
      <c r="M183" s="183" t="s">
        <v>1</v>
      </c>
      <c r="N183" s="184" t="s">
        <v>38</v>
      </c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AR183" s="131" t="s">
        <v>131</v>
      </c>
      <c r="AT183" s="131" t="s">
        <v>129</v>
      </c>
      <c r="AU183" s="131" t="s">
        <v>82</v>
      </c>
      <c r="AY183" s="90" t="s">
        <v>127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90" t="s">
        <v>80</v>
      </c>
      <c r="BK183" s="187">
        <f>ROUND(I183*H183,2)</f>
        <v>0</v>
      </c>
      <c r="BL183" s="90" t="s">
        <v>131</v>
      </c>
      <c r="BM183" s="131" t="s">
        <v>197</v>
      </c>
    </row>
    <row r="184" spans="2:65" s="99" customFormat="1" ht="16.5" customHeight="1" x14ac:dyDescent="0.2">
      <c r="B184" s="98"/>
      <c r="C184" s="176"/>
      <c r="D184" s="176"/>
      <c r="E184" s="177"/>
      <c r="F184" s="178" t="s">
        <v>827</v>
      </c>
      <c r="G184" s="179"/>
      <c r="H184" s="180">
        <f>20*1.5*0.8*1.8</f>
        <v>43.2</v>
      </c>
      <c r="I184" s="80"/>
      <c r="J184" s="181"/>
      <c r="K184" s="182"/>
      <c r="L184" s="196"/>
      <c r="M184" s="183"/>
      <c r="N184" s="184"/>
      <c r="P184" s="185"/>
      <c r="Q184" s="185"/>
      <c r="R184" s="185"/>
      <c r="S184" s="185"/>
      <c r="T184" s="186"/>
      <c r="AR184" s="131"/>
      <c r="AT184" s="131"/>
      <c r="AU184" s="131"/>
      <c r="AY184" s="90"/>
      <c r="BE184" s="187"/>
      <c r="BF184" s="187"/>
      <c r="BG184" s="187"/>
      <c r="BH184" s="187"/>
      <c r="BI184" s="187"/>
      <c r="BJ184" s="90"/>
      <c r="BK184" s="187"/>
      <c r="BL184" s="90"/>
      <c r="BM184" s="131"/>
    </row>
    <row r="185" spans="2:65" s="99" customFormat="1" ht="51.75" customHeight="1" x14ac:dyDescent="0.2">
      <c r="B185" s="98"/>
      <c r="C185" s="176">
        <v>17</v>
      </c>
      <c r="D185" s="176" t="s">
        <v>129</v>
      </c>
      <c r="E185" s="177"/>
      <c r="F185" s="178" t="s">
        <v>895</v>
      </c>
      <c r="G185" s="179" t="s">
        <v>886</v>
      </c>
      <c r="H185" s="180">
        <v>64</v>
      </c>
      <c r="I185" s="80"/>
      <c r="J185" s="181">
        <f>ROUND(I185*H185,2)</f>
        <v>0</v>
      </c>
      <c r="K185" s="182"/>
      <c r="L185" s="196"/>
      <c r="M185" s="183"/>
      <c r="N185" s="184"/>
      <c r="P185" s="185"/>
      <c r="Q185" s="185"/>
      <c r="R185" s="185"/>
      <c r="S185" s="185"/>
      <c r="T185" s="186"/>
      <c r="AR185" s="131"/>
      <c r="AT185" s="131"/>
      <c r="AU185" s="131"/>
      <c r="AY185" s="90"/>
      <c r="BE185" s="187"/>
      <c r="BF185" s="187"/>
      <c r="BG185" s="187"/>
      <c r="BH185" s="187"/>
      <c r="BI185" s="187"/>
      <c r="BJ185" s="90"/>
      <c r="BK185" s="187"/>
      <c r="BL185" s="90"/>
      <c r="BM185" s="131"/>
    </row>
    <row r="186" spans="2:65" s="99" customFormat="1" ht="24.2" customHeight="1" x14ac:dyDescent="0.2">
      <c r="B186" s="98"/>
      <c r="C186" s="176">
        <v>18</v>
      </c>
      <c r="D186" s="176" t="s">
        <v>129</v>
      </c>
      <c r="E186" s="177" t="s">
        <v>198</v>
      </c>
      <c r="F186" s="178" t="s">
        <v>199</v>
      </c>
      <c r="G186" s="179" t="s">
        <v>180</v>
      </c>
      <c r="H186" s="180">
        <v>162.58000000000001</v>
      </c>
      <c r="I186" s="80"/>
      <c r="J186" s="181">
        <f>ROUND(I186*H186,2)</f>
        <v>0</v>
      </c>
      <c r="K186" s="182"/>
      <c r="L186" s="196"/>
      <c r="M186" s="183" t="s">
        <v>1</v>
      </c>
      <c r="N186" s="184" t="s">
        <v>38</v>
      </c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AR186" s="131" t="s">
        <v>131</v>
      </c>
      <c r="AT186" s="131" t="s">
        <v>129</v>
      </c>
      <c r="AU186" s="131" t="s">
        <v>82</v>
      </c>
      <c r="AY186" s="90" t="s">
        <v>127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90" t="s">
        <v>80</v>
      </c>
      <c r="BK186" s="187">
        <f>ROUND(I186*H186,2)</f>
        <v>0</v>
      </c>
      <c r="BL186" s="90" t="s">
        <v>131</v>
      </c>
      <c r="BM186" s="131" t="s">
        <v>200</v>
      </c>
    </row>
    <row r="187" spans="2:65" s="189" customFormat="1" x14ac:dyDescent="0.2">
      <c r="B187" s="188"/>
      <c r="D187" s="190" t="s">
        <v>132</v>
      </c>
      <c r="E187" s="191" t="s">
        <v>1</v>
      </c>
      <c r="F187" s="192" t="s">
        <v>201</v>
      </c>
      <c r="H187" s="193">
        <v>162.58000000000001</v>
      </c>
      <c r="I187" s="82"/>
      <c r="L187" s="158"/>
      <c r="M187" s="194"/>
      <c r="T187" s="195"/>
      <c r="AT187" s="191" t="s">
        <v>132</v>
      </c>
      <c r="AU187" s="191" t="s">
        <v>82</v>
      </c>
      <c r="AV187" s="189" t="s">
        <v>82</v>
      </c>
      <c r="AW187" s="189" t="s">
        <v>30</v>
      </c>
      <c r="AX187" s="189" t="s">
        <v>72</v>
      </c>
      <c r="AY187" s="191" t="s">
        <v>127</v>
      </c>
    </row>
    <row r="188" spans="2:65" s="198" customFormat="1" x14ac:dyDescent="0.2">
      <c r="B188" s="197"/>
      <c r="D188" s="190" t="s">
        <v>132</v>
      </c>
      <c r="E188" s="199" t="s">
        <v>1</v>
      </c>
      <c r="F188" s="200" t="s">
        <v>133</v>
      </c>
      <c r="H188" s="201">
        <v>162.58000000000001</v>
      </c>
      <c r="I188" s="83"/>
      <c r="L188" s="202"/>
      <c r="M188" s="203"/>
      <c r="T188" s="204"/>
      <c r="AT188" s="199" t="s">
        <v>132</v>
      </c>
      <c r="AU188" s="199" t="s">
        <v>82</v>
      </c>
      <c r="AV188" s="198" t="s">
        <v>131</v>
      </c>
      <c r="AW188" s="198" t="s">
        <v>30</v>
      </c>
      <c r="AX188" s="198" t="s">
        <v>80</v>
      </c>
      <c r="AY188" s="199" t="s">
        <v>127</v>
      </c>
    </row>
    <row r="189" spans="2:65" s="99" customFormat="1" ht="24.2" customHeight="1" x14ac:dyDescent="0.2">
      <c r="B189" s="98"/>
      <c r="C189" s="176">
        <v>19</v>
      </c>
      <c r="D189" s="176" t="s">
        <v>129</v>
      </c>
      <c r="E189" s="177" t="s">
        <v>202</v>
      </c>
      <c r="F189" s="178" t="s">
        <v>203</v>
      </c>
      <c r="G189" s="179" t="s">
        <v>180</v>
      </c>
      <c r="H189" s="180">
        <f>H191</f>
        <v>4.34</v>
      </c>
      <c r="I189" s="80"/>
      <c r="J189" s="181">
        <f>ROUND(I189*H189,2)</f>
        <v>0</v>
      </c>
      <c r="K189" s="182"/>
      <c r="L189" s="213"/>
      <c r="M189" s="183" t="s">
        <v>1</v>
      </c>
      <c r="N189" s="184" t="s">
        <v>38</v>
      </c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AR189" s="131" t="s">
        <v>131</v>
      </c>
      <c r="AT189" s="131" t="s">
        <v>129</v>
      </c>
      <c r="AU189" s="131" t="s">
        <v>82</v>
      </c>
      <c r="AY189" s="90" t="s">
        <v>127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90" t="s">
        <v>80</v>
      </c>
      <c r="BK189" s="187">
        <f>ROUND(I189*H189,2)</f>
        <v>0</v>
      </c>
      <c r="BL189" s="90" t="s">
        <v>131</v>
      </c>
      <c r="BM189" s="131" t="s">
        <v>204</v>
      </c>
    </row>
    <row r="190" spans="2:65" s="207" customFormat="1" x14ac:dyDescent="0.2">
      <c r="B190" s="206"/>
      <c r="D190" s="190" t="s">
        <v>132</v>
      </c>
      <c r="E190" s="208" t="s">
        <v>1</v>
      </c>
      <c r="F190" s="209" t="s">
        <v>143</v>
      </c>
      <c r="H190" s="208" t="s">
        <v>1</v>
      </c>
      <c r="I190" s="84"/>
      <c r="L190" s="210"/>
      <c r="M190" s="211"/>
      <c r="T190" s="212"/>
      <c r="AT190" s="208" t="s">
        <v>132</v>
      </c>
      <c r="AU190" s="208" t="s">
        <v>82</v>
      </c>
      <c r="AV190" s="207" t="s">
        <v>80</v>
      </c>
      <c r="AW190" s="207" t="s">
        <v>30</v>
      </c>
      <c r="AX190" s="207" t="s">
        <v>72</v>
      </c>
      <c r="AY190" s="208" t="s">
        <v>127</v>
      </c>
    </row>
    <row r="191" spans="2:65" s="189" customFormat="1" x14ac:dyDescent="0.2">
      <c r="B191" s="188"/>
      <c r="D191" s="190" t="s">
        <v>132</v>
      </c>
      <c r="E191" s="191" t="s">
        <v>1</v>
      </c>
      <c r="F191" s="192" t="s">
        <v>838</v>
      </c>
      <c r="H191" s="193">
        <v>4.34</v>
      </c>
      <c r="I191" s="82"/>
      <c r="L191" s="158"/>
      <c r="M191" s="194"/>
      <c r="T191" s="195"/>
      <c r="AT191" s="191" t="s">
        <v>132</v>
      </c>
      <c r="AU191" s="191" t="s">
        <v>82</v>
      </c>
      <c r="AV191" s="189" t="s">
        <v>82</v>
      </c>
      <c r="AW191" s="189" t="s">
        <v>30</v>
      </c>
      <c r="AX191" s="189" t="s">
        <v>72</v>
      </c>
      <c r="AY191" s="191" t="s">
        <v>127</v>
      </c>
    </row>
    <row r="192" spans="2:65" s="99" customFormat="1" ht="21.75" customHeight="1" x14ac:dyDescent="0.2">
      <c r="B192" s="98"/>
      <c r="C192" s="176">
        <v>20</v>
      </c>
      <c r="D192" s="176" t="s">
        <v>129</v>
      </c>
      <c r="E192" s="177" t="s">
        <v>205</v>
      </c>
      <c r="F192" s="178" t="s">
        <v>206</v>
      </c>
      <c r="G192" s="179" t="s">
        <v>130</v>
      </c>
      <c r="H192" s="180">
        <f>H204</f>
        <v>6585.0229999999992</v>
      </c>
      <c r="I192" s="80"/>
      <c r="J192" s="181">
        <f>ROUND(I192*H192,2)</f>
        <v>0</v>
      </c>
      <c r="K192" s="182"/>
      <c r="L192" s="196"/>
      <c r="M192" s="183" t="s">
        <v>1</v>
      </c>
      <c r="N192" s="184" t="s">
        <v>38</v>
      </c>
      <c r="P192" s="185">
        <f>O192*H192</f>
        <v>0</v>
      </c>
      <c r="Q192" s="185">
        <v>8.4000000000000003E-4</v>
      </c>
      <c r="R192" s="185">
        <f>Q192*H192</f>
        <v>5.5314193199999995</v>
      </c>
      <c r="S192" s="185">
        <v>0</v>
      </c>
      <c r="T192" s="186">
        <f>S192*H192</f>
        <v>0</v>
      </c>
      <c r="AR192" s="131" t="s">
        <v>131</v>
      </c>
      <c r="AT192" s="131" t="s">
        <v>129</v>
      </c>
      <c r="AU192" s="131" t="s">
        <v>82</v>
      </c>
      <c r="AY192" s="90" t="s">
        <v>127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90" t="s">
        <v>80</v>
      </c>
      <c r="BK192" s="187">
        <f>ROUND(I192*H192,2)</f>
        <v>0</v>
      </c>
      <c r="BL192" s="90" t="s">
        <v>131</v>
      </c>
      <c r="BM192" s="131" t="s">
        <v>207</v>
      </c>
    </row>
    <row r="193" spans="2:65" s="207" customFormat="1" x14ac:dyDescent="0.2">
      <c r="B193" s="206"/>
      <c r="D193" s="190" t="s">
        <v>132</v>
      </c>
      <c r="E193" s="208" t="s">
        <v>1</v>
      </c>
      <c r="F193" s="209" t="s">
        <v>143</v>
      </c>
      <c r="H193" s="208" t="s">
        <v>1</v>
      </c>
      <c r="I193" s="84"/>
      <c r="L193" s="210"/>
      <c r="M193" s="211"/>
      <c r="T193" s="212"/>
      <c r="AT193" s="208" t="s">
        <v>132</v>
      </c>
      <c r="AU193" s="208" t="s">
        <v>82</v>
      </c>
      <c r="AV193" s="207" t="s">
        <v>80</v>
      </c>
      <c r="AW193" s="207" t="s">
        <v>30</v>
      </c>
      <c r="AX193" s="207" t="s">
        <v>72</v>
      </c>
      <c r="AY193" s="208" t="s">
        <v>127</v>
      </c>
    </row>
    <row r="194" spans="2:65" s="189" customFormat="1" x14ac:dyDescent="0.2">
      <c r="B194" s="188"/>
      <c r="D194" s="190" t="s">
        <v>132</v>
      </c>
      <c r="E194" s="191" t="s">
        <v>1</v>
      </c>
      <c r="F194" s="192" t="s">
        <v>208</v>
      </c>
      <c r="H194" s="193">
        <v>1819.0029999999999</v>
      </c>
      <c r="I194" s="82"/>
      <c r="L194" s="158"/>
      <c r="M194" s="194"/>
      <c r="T194" s="195"/>
      <c r="AT194" s="191" t="s">
        <v>132</v>
      </c>
      <c r="AU194" s="191" t="s">
        <v>82</v>
      </c>
      <c r="AV194" s="189" t="s">
        <v>82</v>
      </c>
      <c r="AW194" s="189" t="s">
        <v>30</v>
      </c>
      <c r="AX194" s="189" t="s">
        <v>72</v>
      </c>
      <c r="AY194" s="191" t="s">
        <v>127</v>
      </c>
    </row>
    <row r="195" spans="2:65" s="189" customFormat="1" x14ac:dyDescent="0.2">
      <c r="B195" s="188"/>
      <c r="D195" s="190" t="s">
        <v>132</v>
      </c>
      <c r="E195" s="191" t="s">
        <v>1</v>
      </c>
      <c r="F195" s="192" t="s">
        <v>209</v>
      </c>
      <c r="H195" s="193">
        <v>181.73099999999999</v>
      </c>
      <c r="I195" s="82"/>
      <c r="L195" s="158"/>
      <c r="M195" s="194"/>
      <c r="T195" s="195"/>
      <c r="AT195" s="191" t="s">
        <v>132</v>
      </c>
      <c r="AU195" s="191" t="s">
        <v>82</v>
      </c>
      <c r="AV195" s="189" t="s">
        <v>82</v>
      </c>
      <c r="AW195" s="189" t="s">
        <v>30</v>
      </c>
      <c r="AX195" s="189" t="s">
        <v>72</v>
      </c>
      <c r="AY195" s="191" t="s">
        <v>127</v>
      </c>
    </row>
    <row r="196" spans="2:65" s="189" customFormat="1" x14ac:dyDescent="0.2">
      <c r="B196" s="188"/>
      <c r="D196" s="190" t="s">
        <v>132</v>
      </c>
      <c r="E196" s="191" t="s">
        <v>1</v>
      </c>
      <c r="F196" s="192" t="s">
        <v>210</v>
      </c>
      <c r="H196" s="193">
        <v>209.22</v>
      </c>
      <c r="I196" s="82"/>
      <c r="L196" s="158"/>
      <c r="M196" s="194"/>
      <c r="T196" s="195"/>
      <c r="AT196" s="191" t="s">
        <v>132</v>
      </c>
      <c r="AU196" s="191" t="s">
        <v>82</v>
      </c>
      <c r="AV196" s="189" t="s">
        <v>82</v>
      </c>
      <c r="AW196" s="189" t="s">
        <v>30</v>
      </c>
      <c r="AX196" s="189" t="s">
        <v>72</v>
      </c>
      <c r="AY196" s="191" t="s">
        <v>127</v>
      </c>
    </row>
    <row r="197" spans="2:65" s="189" customFormat="1" x14ac:dyDescent="0.2">
      <c r="B197" s="188"/>
      <c r="D197" s="190" t="s">
        <v>132</v>
      </c>
      <c r="E197" s="191" t="s">
        <v>1</v>
      </c>
      <c r="F197" s="192" t="s">
        <v>211</v>
      </c>
      <c r="H197" s="193">
        <v>289.55500000000001</v>
      </c>
      <c r="I197" s="82"/>
      <c r="L197" s="158"/>
      <c r="M197" s="194"/>
      <c r="T197" s="195"/>
      <c r="AT197" s="191" t="s">
        <v>132</v>
      </c>
      <c r="AU197" s="191" t="s">
        <v>82</v>
      </c>
      <c r="AV197" s="189" t="s">
        <v>82</v>
      </c>
      <c r="AW197" s="189" t="s">
        <v>30</v>
      </c>
      <c r="AX197" s="189" t="s">
        <v>72</v>
      </c>
      <c r="AY197" s="191" t="s">
        <v>127</v>
      </c>
    </row>
    <row r="198" spans="2:65" s="189" customFormat="1" x14ac:dyDescent="0.2">
      <c r="B198" s="188"/>
      <c r="D198" s="190" t="s">
        <v>132</v>
      </c>
      <c r="E198" s="191" t="s">
        <v>1</v>
      </c>
      <c r="F198" s="192" t="s">
        <v>212</v>
      </c>
      <c r="H198" s="193">
        <v>850.67600000000004</v>
      </c>
      <c r="I198" s="82"/>
      <c r="L198" s="158"/>
      <c r="M198" s="194"/>
      <c r="T198" s="195"/>
      <c r="AT198" s="191" t="s">
        <v>132</v>
      </c>
      <c r="AU198" s="191" t="s">
        <v>82</v>
      </c>
      <c r="AV198" s="189" t="s">
        <v>82</v>
      </c>
      <c r="AW198" s="189" t="s">
        <v>30</v>
      </c>
      <c r="AX198" s="189" t="s">
        <v>72</v>
      </c>
      <c r="AY198" s="191" t="s">
        <v>127</v>
      </c>
    </row>
    <row r="199" spans="2:65" s="189" customFormat="1" x14ac:dyDescent="0.2">
      <c r="B199" s="188"/>
      <c r="D199" s="190" t="s">
        <v>132</v>
      </c>
      <c r="E199" s="191" t="s">
        <v>1</v>
      </c>
      <c r="F199" s="192" t="s">
        <v>213</v>
      </c>
      <c r="H199" s="193">
        <v>378.73099999999999</v>
      </c>
      <c r="I199" s="82"/>
      <c r="L199" s="158"/>
      <c r="M199" s="194"/>
      <c r="T199" s="195"/>
      <c r="AT199" s="191" t="s">
        <v>132</v>
      </c>
      <c r="AU199" s="191" t="s">
        <v>82</v>
      </c>
      <c r="AV199" s="189" t="s">
        <v>82</v>
      </c>
      <c r="AW199" s="189" t="s">
        <v>30</v>
      </c>
      <c r="AX199" s="189" t="s">
        <v>72</v>
      </c>
      <c r="AY199" s="191" t="s">
        <v>127</v>
      </c>
    </row>
    <row r="200" spans="2:65" s="189" customFormat="1" x14ac:dyDescent="0.2">
      <c r="B200" s="188"/>
      <c r="D200" s="190" t="s">
        <v>132</v>
      </c>
      <c r="E200" s="191" t="s">
        <v>1</v>
      </c>
      <c r="F200" s="192" t="s">
        <v>214</v>
      </c>
      <c r="H200" s="193">
        <v>254.244</v>
      </c>
      <c r="I200" s="82"/>
      <c r="L200" s="158"/>
      <c r="M200" s="194"/>
      <c r="T200" s="195"/>
      <c r="AT200" s="191" t="s">
        <v>132</v>
      </c>
      <c r="AU200" s="191" t="s">
        <v>82</v>
      </c>
      <c r="AV200" s="189" t="s">
        <v>82</v>
      </c>
      <c r="AW200" s="189" t="s">
        <v>30</v>
      </c>
      <c r="AX200" s="189" t="s">
        <v>72</v>
      </c>
      <c r="AY200" s="191" t="s">
        <v>127</v>
      </c>
    </row>
    <row r="201" spans="2:65" s="189" customFormat="1" x14ac:dyDescent="0.2">
      <c r="B201" s="188"/>
      <c r="D201" s="190" t="s">
        <v>132</v>
      </c>
      <c r="E201" s="191" t="s">
        <v>1</v>
      </c>
      <c r="F201" s="192" t="s">
        <v>215</v>
      </c>
      <c r="H201" s="193">
        <v>1036.4559999999999</v>
      </c>
      <c r="I201" s="82"/>
      <c r="L201" s="158"/>
      <c r="M201" s="194"/>
      <c r="T201" s="195"/>
      <c r="AT201" s="191" t="s">
        <v>132</v>
      </c>
      <c r="AU201" s="191" t="s">
        <v>82</v>
      </c>
      <c r="AV201" s="189" t="s">
        <v>82</v>
      </c>
      <c r="AW201" s="189" t="s">
        <v>30</v>
      </c>
      <c r="AX201" s="189" t="s">
        <v>72</v>
      </c>
      <c r="AY201" s="191" t="s">
        <v>127</v>
      </c>
    </row>
    <row r="202" spans="2:65" s="189" customFormat="1" x14ac:dyDescent="0.2">
      <c r="B202" s="188"/>
      <c r="D202" s="190" t="s">
        <v>132</v>
      </c>
      <c r="E202" s="191" t="s">
        <v>1</v>
      </c>
      <c r="F202" s="192" t="s">
        <v>216</v>
      </c>
      <c r="H202" s="193">
        <v>1501.1469999999999</v>
      </c>
      <c r="I202" s="82"/>
      <c r="L202" s="158"/>
      <c r="M202" s="194"/>
      <c r="T202" s="195"/>
      <c r="AT202" s="191" t="s">
        <v>132</v>
      </c>
      <c r="AU202" s="191" t="s">
        <v>82</v>
      </c>
      <c r="AV202" s="189" t="s">
        <v>82</v>
      </c>
      <c r="AW202" s="189" t="s">
        <v>30</v>
      </c>
      <c r="AX202" s="189" t="s">
        <v>72</v>
      </c>
      <c r="AY202" s="191" t="s">
        <v>127</v>
      </c>
    </row>
    <row r="203" spans="2:65" s="189" customFormat="1" x14ac:dyDescent="0.2">
      <c r="B203" s="188"/>
      <c r="D203" s="190" t="s">
        <v>132</v>
      </c>
      <c r="E203" s="191" t="s">
        <v>1</v>
      </c>
      <c r="F203" s="192" t="s">
        <v>217</v>
      </c>
      <c r="H203" s="193">
        <v>64.260000000000005</v>
      </c>
      <c r="I203" s="82"/>
      <c r="L203" s="158"/>
      <c r="M203" s="194"/>
      <c r="T203" s="195"/>
      <c r="AT203" s="191" t="s">
        <v>132</v>
      </c>
      <c r="AU203" s="191" t="s">
        <v>82</v>
      </c>
      <c r="AV203" s="189" t="s">
        <v>82</v>
      </c>
      <c r="AW203" s="189" t="s">
        <v>30</v>
      </c>
      <c r="AX203" s="189" t="s">
        <v>72</v>
      </c>
      <c r="AY203" s="191" t="s">
        <v>127</v>
      </c>
    </row>
    <row r="204" spans="2:65" s="198" customFormat="1" x14ac:dyDescent="0.2">
      <c r="B204" s="197"/>
      <c r="D204" s="190" t="s">
        <v>132</v>
      </c>
      <c r="E204" s="199" t="s">
        <v>1</v>
      </c>
      <c r="F204" s="200" t="s">
        <v>133</v>
      </c>
      <c r="H204" s="201">
        <f>SUM(H194:H203)</f>
        <v>6585.0229999999992</v>
      </c>
      <c r="I204" s="83"/>
      <c r="L204" s="202"/>
      <c r="M204" s="203"/>
      <c r="T204" s="204"/>
      <c r="AT204" s="199" t="s">
        <v>132</v>
      </c>
      <c r="AU204" s="199" t="s">
        <v>82</v>
      </c>
      <c r="AV204" s="198" t="s">
        <v>131</v>
      </c>
      <c r="AW204" s="198" t="s">
        <v>30</v>
      </c>
      <c r="AX204" s="198" t="s">
        <v>80</v>
      </c>
      <c r="AY204" s="199" t="s">
        <v>127</v>
      </c>
    </row>
    <row r="205" spans="2:65" s="99" customFormat="1" ht="24.2" customHeight="1" x14ac:dyDescent="0.2">
      <c r="B205" s="98"/>
      <c r="C205" s="176">
        <v>21</v>
      </c>
      <c r="D205" s="176" t="s">
        <v>129</v>
      </c>
      <c r="E205" s="177" t="s">
        <v>218</v>
      </c>
      <c r="F205" s="178" t="s">
        <v>219</v>
      </c>
      <c r="G205" s="179" t="s">
        <v>130</v>
      </c>
      <c r="H205" s="180">
        <v>6585.0230000000001</v>
      </c>
      <c r="I205" s="80"/>
      <c r="J205" s="181">
        <f>ROUND(I205*H205,2)</f>
        <v>0</v>
      </c>
      <c r="K205" s="182"/>
      <c r="L205" s="196"/>
      <c r="M205" s="183" t="s">
        <v>1</v>
      </c>
      <c r="N205" s="184" t="s">
        <v>38</v>
      </c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AR205" s="131" t="s">
        <v>131</v>
      </c>
      <c r="AT205" s="131" t="s">
        <v>129</v>
      </c>
      <c r="AU205" s="131" t="s">
        <v>82</v>
      </c>
      <c r="AY205" s="90" t="s">
        <v>127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90" t="s">
        <v>80</v>
      </c>
      <c r="BK205" s="187">
        <f>ROUND(I205*H205,2)</f>
        <v>0</v>
      </c>
      <c r="BL205" s="90" t="s">
        <v>131</v>
      </c>
      <c r="BM205" s="131" t="s">
        <v>220</v>
      </c>
    </row>
    <row r="206" spans="2:65" s="99" customFormat="1" ht="37.9" customHeight="1" x14ac:dyDescent="0.2">
      <c r="B206" s="98"/>
      <c r="C206" s="176">
        <v>22</v>
      </c>
      <c r="D206" s="176" t="s">
        <v>129</v>
      </c>
      <c r="E206" s="177"/>
      <c r="F206" s="178" t="s">
        <v>848</v>
      </c>
      <c r="G206" s="179" t="s">
        <v>180</v>
      </c>
      <c r="H206" s="180">
        <f>H214</f>
        <v>3866.2002766631576</v>
      </c>
      <c r="I206" s="80"/>
      <c r="J206" s="181">
        <f>ROUND(I206*H206,2)</f>
        <v>0</v>
      </c>
      <c r="K206" s="182"/>
      <c r="L206" s="213"/>
      <c r="M206" s="183" t="s">
        <v>1</v>
      </c>
      <c r="N206" s="184" t="s">
        <v>38</v>
      </c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AR206" s="131" t="s">
        <v>131</v>
      </c>
      <c r="AT206" s="131" t="s">
        <v>129</v>
      </c>
      <c r="AU206" s="131" t="s">
        <v>82</v>
      </c>
      <c r="AY206" s="90" t="s">
        <v>127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90" t="s">
        <v>80</v>
      </c>
      <c r="BK206" s="187">
        <f>ROUND(I206*H206,2)</f>
        <v>0</v>
      </c>
      <c r="BL206" s="90" t="s">
        <v>131</v>
      </c>
      <c r="BM206" s="131" t="s">
        <v>221</v>
      </c>
    </row>
    <row r="207" spans="2:65" s="189" customFormat="1" x14ac:dyDescent="0.2">
      <c r="B207" s="188"/>
      <c r="D207" s="190" t="s">
        <v>132</v>
      </c>
      <c r="E207" s="191" t="s">
        <v>1</v>
      </c>
      <c r="F207" s="192" t="s">
        <v>1034</v>
      </c>
      <c r="H207" s="193">
        <f>1730.8*0.3*2</f>
        <v>1038.48</v>
      </c>
      <c r="I207" s="82"/>
      <c r="L207" s="158"/>
      <c r="M207" s="194"/>
      <c r="T207" s="195"/>
      <c r="AT207" s="191" t="s">
        <v>132</v>
      </c>
      <c r="AU207" s="191" t="s">
        <v>82</v>
      </c>
      <c r="AV207" s="189" t="s">
        <v>82</v>
      </c>
      <c r="AW207" s="189" t="s">
        <v>30</v>
      </c>
      <c r="AX207" s="189" t="s">
        <v>72</v>
      </c>
      <c r="AY207" s="191" t="s">
        <v>127</v>
      </c>
    </row>
    <row r="208" spans="2:65" s="189" customFormat="1" x14ac:dyDescent="0.2">
      <c r="B208" s="188"/>
      <c r="D208" s="190" t="s">
        <v>132</v>
      </c>
      <c r="E208" s="191" t="s">
        <v>1</v>
      </c>
      <c r="F208" s="192" t="s">
        <v>1036</v>
      </c>
      <c r="H208" s="193">
        <f>1339.694/1.9</f>
        <v>705.10210526315791</v>
      </c>
      <c r="I208" s="82"/>
      <c r="L208" s="158"/>
      <c r="M208" s="194"/>
      <c r="T208" s="195"/>
      <c r="AT208" s="191" t="s">
        <v>132</v>
      </c>
      <c r="AU208" s="191" t="s">
        <v>82</v>
      </c>
      <c r="AV208" s="189" t="s">
        <v>82</v>
      </c>
      <c r="AW208" s="189" t="s">
        <v>30</v>
      </c>
      <c r="AX208" s="189" t="s">
        <v>72</v>
      </c>
      <c r="AY208" s="191" t="s">
        <v>127</v>
      </c>
    </row>
    <row r="209" spans="2:65" s="189" customFormat="1" x14ac:dyDescent="0.2">
      <c r="B209" s="188"/>
      <c r="D209" s="190" t="s">
        <v>132</v>
      </c>
      <c r="E209" s="191" t="s">
        <v>1</v>
      </c>
      <c r="F209" s="192" t="s">
        <v>849</v>
      </c>
      <c r="H209" s="193">
        <f xml:space="preserve"> (212*0.2)*2</f>
        <v>84.800000000000011</v>
      </c>
      <c r="I209" s="82"/>
      <c r="L209" s="158"/>
      <c r="M209" s="194"/>
      <c r="T209" s="195"/>
      <c r="AT209" s="191" t="s">
        <v>132</v>
      </c>
      <c r="AU209" s="191" t="s">
        <v>82</v>
      </c>
      <c r="AV209" s="189" t="s">
        <v>82</v>
      </c>
      <c r="AW209" s="189" t="s">
        <v>30</v>
      </c>
      <c r="AX209" s="189" t="s">
        <v>72</v>
      </c>
      <c r="AY209" s="191" t="s">
        <v>127</v>
      </c>
    </row>
    <row r="210" spans="2:65" s="189" customFormat="1" x14ac:dyDescent="0.2">
      <c r="B210" s="188"/>
      <c r="D210" s="190" t="s">
        <v>132</v>
      </c>
      <c r="E210" s="191" t="s">
        <v>1</v>
      </c>
      <c r="F210" s="192" t="s">
        <v>951</v>
      </c>
      <c r="H210" s="193">
        <f>H245</f>
        <v>802.87900000000002</v>
      </c>
      <c r="I210" s="82"/>
      <c r="L210" s="158"/>
      <c r="M210" s="194"/>
      <c r="T210" s="195"/>
      <c r="AT210" s="191" t="s">
        <v>132</v>
      </c>
      <c r="AU210" s="191" t="s">
        <v>82</v>
      </c>
      <c r="AV210" s="189" t="s">
        <v>82</v>
      </c>
      <c r="AW210" s="189" t="s">
        <v>30</v>
      </c>
      <c r="AX210" s="189" t="s">
        <v>72</v>
      </c>
      <c r="AY210" s="191" t="s">
        <v>127</v>
      </c>
    </row>
    <row r="211" spans="2:65" s="189" customFormat="1" x14ac:dyDescent="0.2">
      <c r="B211" s="188"/>
      <c r="D211" s="190" t="s">
        <v>132</v>
      </c>
      <c r="E211" s="191" t="s">
        <v>1</v>
      </c>
      <c r="F211" s="192" t="s">
        <v>952</v>
      </c>
      <c r="H211" s="193">
        <f>H262</f>
        <v>192.00317140000001</v>
      </c>
      <c r="I211" s="82"/>
      <c r="L211" s="158"/>
      <c r="M211" s="194"/>
      <c r="T211" s="195"/>
      <c r="AT211" s="191" t="s">
        <v>132</v>
      </c>
      <c r="AU211" s="191" t="s">
        <v>82</v>
      </c>
      <c r="AV211" s="189" t="s">
        <v>82</v>
      </c>
      <c r="AW211" s="189" t="s">
        <v>30</v>
      </c>
      <c r="AX211" s="189" t="s">
        <v>72</v>
      </c>
      <c r="AY211" s="191" t="s">
        <v>127</v>
      </c>
    </row>
    <row r="212" spans="2:65" s="189" customFormat="1" ht="22.5" x14ac:dyDescent="0.2">
      <c r="B212" s="188"/>
      <c r="D212" s="190" t="s">
        <v>132</v>
      </c>
      <c r="E212" s="191" t="s">
        <v>1</v>
      </c>
      <c r="F212" s="192" t="s">
        <v>953</v>
      </c>
      <c r="H212" s="193">
        <f xml:space="preserve"> (605.4*0.15)+(121.6*0.2)+(1003.8*0.25)+(605.4*0.3)</f>
        <v>547.69999999999993</v>
      </c>
      <c r="I212" s="82"/>
      <c r="L212" s="158"/>
      <c r="M212" s="194"/>
      <c r="T212" s="195"/>
      <c r="AT212" s="191" t="s">
        <v>132</v>
      </c>
      <c r="AU212" s="191" t="s">
        <v>82</v>
      </c>
      <c r="AV212" s="189" t="s">
        <v>82</v>
      </c>
      <c r="AW212" s="189" t="s">
        <v>30</v>
      </c>
      <c r="AX212" s="189" t="s">
        <v>72</v>
      </c>
      <c r="AY212" s="191" t="s">
        <v>127</v>
      </c>
    </row>
    <row r="213" spans="2:65" s="189" customFormat="1" x14ac:dyDescent="0.2">
      <c r="B213" s="188"/>
      <c r="D213" s="190"/>
      <c r="E213" s="191"/>
      <c r="F213" s="192" t="s">
        <v>962</v>
      </c>
      <c r="H213" s="193">
        <f>(1606*0.04+2456.76*0.05+605.4*0.1)*2</f>
        <v>495.23600000000005</v>
      </c>
      <c r="I213" s="82"/>
      <c r="L213" s="158"/>
      <c r="M213" s="194"/>
      <c r="T213" s="195"/>
      <c r="AT213" s="191"/>
      <c r="AU213" s="191"/>
      <c r="AY213" s="191"/>
    </row>
    <row r="214" spans="2:65" s="198" customFormat="1" x14ac:dyDescent="0.2">
      <c r="B214" s="197"/>
      <c r="D214" s="190" t="s">
        <v>132</v>
      </c>
      <c r="E214" s="199" t="s">
        <v>1</v>
      </c>
      <c r="F214" s="200" t="s">
        <v>133</v>
      </c>
      <c r="H214" s="201">
        <f>SUM(H207:H213)</f>
        <v>3866.2002766631576</v>
      </c>
      <c r="I214" s="83"/>
      <c r="L214" s="202"/>
      <c r="M214" s="203"/>
      <c r="T214" s="204"/>
      <c r="AT214" s="199" t="s">
        <v>132</v>
      </c>
      <c r="AU214" s="199" t="s">
        <v>82</v>
      </c>
      <c r="AV214" s="198" t="s">
        <v>131</v>
      </c>
      <c r="AW214" s="198" t="s">
        <v>30</v>
      </c>
      <c r="AX214" s="198" t="s">
        <v>80</v>
      </c>
      <c r="AY214" s="199" t="s">
        <v>127</v>
      </c>
    </row>
    <row r="215" spans="2:65" s="99" customFormat="1" ht="37.9" customHeight="1" x14ac:dyDescent="0.2">
      <c r="B215" s="98"/>
      <c r="C215" s="176">
        <v>23</v>
      </c>
      <c r="D215" s="176" t="s">
        <v>129</v>
      </c>
      <c r="E215" s="177"/>
      <c r="F215" s="178" t="s">
        <v>839</v>
      </c>
      <c r="G215" s="179" t="s">
        <v>180</v>
      </c>
      <c r="H215" s="180">
        <f>H216</f>
        <v>1213.7925</v>
      </c>
      <c r="I215" s="80"/>
      <c r="J215" s="181">
        <f>ROUND(I215*H215,2)</f>
        <v>0</v>
      </c>
      <c r="K215" s="182"/>
      <c r="L215" s="213"/>
      <c r="M215" s="183" t="s">
        <v>1</v>
      </c>
      <c r="N215" s="184" t="s">
        <v>38</v>
      </c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AR215" s="131" t="s">
        <v>131</v>
      </c>
      <c r="AT215" s="131" t="s">
        <v>129</v>
      </c>
      <c r="AU215" s="131" t="s">
        <v>82</v>
      </c>
      <c r="AY215" s="90" t="s">
        <v>127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90" t="s">
        <v>80</v>
      </c>
      <c r="BK215" s="187">
        <f>ROUND(I215*H215,2)</f>
        <v>0</v>
      </c>
      <c r="BL215" s="90" t="s">
        <v>131</v>
      </c>
      <c r="BM215" s="131" t="s">
        <v>223</v>
      </c>
    </row>
    <row r="216" spans="2:65" s="189" customFormat="1" ht="33.75" x14ac:dyDescent="0.2">
      <c r="B216" s="188"/>
      <c r="D216" s="190" t="s">
        <v>132</v>
      </c>
      <c r="E216" s="191" t="s">
        <v>1</v>
      </c>
      <c r="F216" s="192" t="s">
        <v>843</v>
      </c>
      <c r="H216" s="193">
        <f>2427.585*0.5</f>
        <v>1213.7925</v>
      </c>
      <c r="I216" s="82"/>
      <c r="L216" s="158"/>
      <c r="M216" s="194"/>
      <c r="T216" s="195"/>
      <c r="AT216" s="191" t="s">
        <v>132</v>
      </c>
      <c r="AU216" s="191" t="s">
        <v>82</v>
      </c>
      <c r="AV216" s="189" t="s">
        <v>82</v>
      </c>
      <c r="AW216" s="189" t="s">
        <v>30</v>
      </c>
      <c r="AX216" s="189" t="s">
        <v>72</v>
      </c>
      <c r="AY216" s="191" t="s">
        <v>127</v>
      </c>
    </row>
    <row r="217" spans="2:65" s="99" customFormat="1" ht="31.5" customHeight="1" x14ac:dyDescent="0.2">
      <c r="B217" s="98"/>
      <c r="C217" s="176">
        <v>24</v>
      </c>
      <c r="D217" s="176" t="s">
        <v>129</v>
      </c>
      <c r="E217" s="177"/>
      <c r="F217" s="178" t="s">
        <v>847</v>
      </c>
      <c r="G217" s="179" t="s">
        <v>180</v>
      </c>
      <c r="H217" s="180">
        <f>H219</f>
        <v>4.34</v>
      </c>
      <c r="I217" s="80"/>
      <c r="J217" s="181">
        <f>ROUND(I217*H217,2)</f>
        <v>0</v>
      </c>
      <c r="K217" s="182"/>
      <c r="L217" s="213"/>
      <c r="M217" s="183" t="s">
        <v>1</v>
      </c>
      <c r="N217" s="184" t="s">
        <v>38</v>
      </c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AR217" s="131" t="s">
        <v>131</v>
      </c>
      <c r="AT217" s="131" t="s">
        <v>129</v>
      </c>
      <c r="AU217" s="131" t="s">
        <v>82</v>
      </c>
      <c r="AY217" s="90" t="s">
        <v>127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90" t="s">
        <v>80</v>
      </c>
      <c r="BK217" s="187">
        <f>ROUND(I217*H217,2)</f>
        <v>0</v>
      </c>
      <c r="BL217" s="90" t="s">
        <v>131</v>
      </c>
      <c r="BM217" s="131" t="s">
        <v>224</v>
      </c>
    </row>
    <row r="218" spans="2:65" s="207" customFormat="1" x14ac:dyDescent="0.2">
      <c r="B218" s="206"/>
      <c r="D218" s="190" t="s">
        <v>132</v>
      </c>
      <c r="E218" s="208" t="s">
        <v>1</v>
      </c>
      <c r="F218" s="209" t="s">
        <v>143</v>
      </c>
      <c r="H218" s="208" t="s">
        <v>1</v>
      </c>
      <c r="I218" s="84"/>
      <c r="L218" s="210"/>
      <c r="M218" s="211"/>
      <c r="T218" s="212"/>
      <c r="AT218" s="208" t="s">
        <v>132</v>
      </c>
      <c r="AU218" s="208" t="s">
        <v>82</v>
      </c>
      <c r="AV218" s="207" t="s">
        <v>80</v>
      </c>
      <c r="AW218" s="207" t="s">
        <v>30</v>
      </c>
      <c r="AX218" s="207" t="s">
        <v>72</v>
      </c>
      <c r="AY218" s="208" t="s">
        <v>127</v>
      </c>
    </row>
    <row r="219" spans="2:65" s="189" customFormat="1" x14ac:dyDescent="0.2">
      <c r="B219" s="188"/>
      <c r="D219" s="190" t="s">
        <v>132</v>
      </c>
      <c r="E219" s="191" t="s">
        <v>1</v>
      </c>
      <c r="F219" s="192" t="s">
        <v>838</v>
      </c>
      <c r="H219" s="193">
        <v>4.34</v>
      </c>
      <c r="I219" s="82"/>
      <c r="L219" s="158"/>
      <c r="M219" s="194"/>
      <c r="T219" s="195"/>
      <c r="AT219" s="191" t="s">
        <v>132</v>
      </c>
      <c r="AU219" s="191" t="s">
        <v>82</v>
      </c>
      <c r="AV219" s="189" t="s">
        <v>82</v>
      </c>
      <c r="AW219" s="189" t="s">
        <v>30</v>
      </c>
      <c r="AX219" s="189" t="s">
        <v>72</v>
      </c>
      <c r="AY219" s="191" t="s">
        <v>127</v>
      </c>
    </row>
    <row r="220" spans="2:65" s="99" customFormat="1" ht="24.2" customHeight="1" x14ac:dyDescent="0.2">
      <c r="B220" s="98"/>
      <c r="C220" s="176">
        <v>25</v>
      </c>
      <c r="D220" s="176" t="s">
        <v>129</v>
      </c>
      <c r="E220" s="177" t="s">
        <v>225</v>
      </c>
      <c r="F220" s="178" t="s">
        <v>226</v>
      </c>
      <c r="G220" s="179" t="s">
        <v>180</v>
      </c>
      <c r="H220" s="180">
        <f>H221</f>
        <v>42.400000000000006</v>
      </c>
      <c r="I220" s="80"/>
      <c r="J220" s="181">
        <f>ROUND(I220*H220,2)</f>
        <v>0</v>
      </c>
      <c r="K220" s="182"/>
      <c r="L220" s="196"/>
      <c r="M220" s="183" t="s">
        <v>1</v>
      </c>
      <c r="N220" s="184" t="s">
        <v>38</v>
      </c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AR220" s="131" t="s">
        <v>131</v>
      </c>
      <c r="AT220" s="131" t="s">
        <v>129</v>
      </c>
      <c r="AU220" s="131" t="s">
        <v>82</v>
      </c>
      <c r="AY220" s="90" t="s">
        <v>127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90" t="s">
        <v>80</v>
      </c>
      <c r="BK220" s="187">
        <f>ROUND(I220*H220,2)</f>
        <v>0</v>
      </c>
      <c r="BL220" s="90" t="s">
        <v>131</v>
      </c>
      <c r="BM220" s="131" t="s">
        <v>227</v>
      </c>
    </row>
    <row r="221" spans="2:65" s="189" customFormat="1" x14ac:dyDescent="0.2">
      <c r="B221" s="188"/>
      <c r="D221" s="190" t="s">
        <v>132</v>
      </c>
      <c r="E221" s="191" t="s">
        <v>1</v>
      </c>
      <c r="F221" s="192" t="s">
        <v>840</v>
      </c>
      <c r="H221" s="193">
        <f>212*0.2</f>
        <v>42.400000000000006</v>
      </c>
      <c r="I221" s="82"/>
      <c r="L221" s="158"/>
      <c r="M221" s="194"/>
      <c r="T221" s="195"/>
      <c r="AT221" s="191" t="s">
        <v>132</v>
      </c>
      <c r="AU221" s="191" t="s">
        <v>82</v>
      </c>
      <c r="AV221" s="189" t="s">
        <v>82</v>
      </c>
      <c r="AW221" s="189" t="s">
        <v>30</v>
      </c>
      <c r="AX221" s="189" t="s">
        <v>72</v>
      </c>
      <c r="AY221" s="191" t="s">
        <v>127</v>
      </c>
    </row>
    <row r="222" spans="2:65" s="99" customFormat="1" ht="24.2" customHeight="1" x14ac:dyDescent="0.2">
      <c r="B222" s="98"/>
      <c r="C222" s="176">
        <v>26</v>
      </c>
      <c r="D222" s="176" t="s">
        <v>129</v>
      </c>
      <c r="E222" s="177" t="s">
        <v>228</v>
      </c>
      <c r="F222" s="178" t="s">
        <v>229</v>
      </c>
      <c r="G222" s="179" t="s">
        <v>180</v>
      </c>
      <c r="H222" s="180">
        <f>H230</f>
        <v>3056.9422766631578</v>
      </c>
      <c r="I222" s="80"/>
      <c r="J222" s="181">
        <f>ROUND(I222*H222,2)</f>
        <v>0</v>
      </c>
      <c r="K222" s="182"/>
      <c r="L222" s="213"/>
      <c r="M222" s="183" t="s">
        <v>1</v>
      </c>
      <c r="N222" s="184" t="s">
        <v>38</v>
      </c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AR222" s="131" t="s">
        <v>131</v>
      </c>
      <c r="AT222" s="131" t="s">
        <v>129</v>
      </c>
      <c r="AU222" s="131" t="s">
        <v>82</v>
      </c>
      <c r="AY222" s="90" t="s">
        <v>127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90" t="s">
        <v>80</v>
      </c>
      <c r="BK222" s="187">
        <f>ROUND(I222*H222,2)</f>
        <v>0</v>
      </c>
      <c r="BL222" s="90" t="s">
        <v>131</v>
      </c>
      <c r="BM222" s="131" t="s">
        <v>230</v>
      </c>
    </row>
    <row r="223" spans="2:65" s="189" customFormat="1" x14ac:dyDescent="0.2">
      <c r="B223" s="188"/>
      <c r="D223" s="190" t="s">
        <v>132</v>
      </c>
      <c r="E223" s="191" t="s">
        <v>1</v>
      </c>
      <c r="F223" s="192" t="s">
        <v>1033</v>
      </c>
      <c r="H223" s="193">
        <f>1730.8*0.3</f>
        <v>519.24</v>
      </c>
      <c r="I223" s="82"/>
      <c r="L223" s="158"/>
      <c r="M223" s="194"/>
      <c r="T223" s="195"/>
      <c r="AT223" s="191" t="s">
        <v>132</v>
      </c>
      <c r="AU223" s="191" t="s">
        <v>82</v>
      </c>
      <c r="AV223" s="189" t="s">
        <v>82</v>
      </c>
      <c r="AW223" s="189" t="s">
        <v>30</v>
      </c>
      <c r="AX223" s="189" t="s">
        <v>72</v>
      </c>
      <c r="AY223" s="191" t="s">
        <v>127</v>
      </c>
    </row>
    <row r="224" spans="2:65" s="189" customFormat="1" x14ac:dyDescent="0.2">
      <c r="B224" s="188"/>
      <c r="D224" s="190" t="s">
        <v>132</v>
      </c>
      <c r="E224" s="191" t="s">
        <v>1</v>
      </c>
      <c r="F224" s="192" t="s">
        <v>1036</v>
      </c>
      <c r="H224" s="193">
        <f>1339.694/1.9</f>
        <v>705.10210526315791</v>
      </c>
      <c r="I224" s="82"/>
      <c r="L224" s="158"/>
      <c r="M224" s="194"/>
      <c r="T224" s="195"/>
      <c r="AT224" s="191" t="s">
        <v>132</v>
      </c>
      <c r="AU224" s="191" t="s">
        <v>82</v>
      </c>
      <c r="AV224" s="189" t="s">
        <v>82</v>
      </c>
      <c r="AW224" s="189" t="s">
        <v>30</v>
      </c>
      <c r="AX224" s="189" t="s">
        <v>72</v>
      </c>
      <c r="AY224" s="191" t="s">
        <v>127</v>
      </c>
    </row>
    <row r="225" spans="2:65" s="189" customFormat="1" x14ac:dyDescent="0.2">
      <c r="B225" s="188"/>
      <c r="D225" s="190" t="s">
        <v>132</v>
      </c>
      <c r="E225" s="191" t="s">
        <v>1</v>
      </c>
      <c r="F225" s="192" t="s">
        <v>1001</v>
      </c>
      <c r="H225" s="193">
        <f xml:space="preserve"> (212*0.2)</f>
        <v>42.400000000000006</v>
      </c>
      <c r="I225" s="82"/>
      <c r="L225" s="158"/>
      <c r="M225" s="194"/>
      <c r="T225" s="195"/>
      <c r="AT225" s="191" t="s">
        <v>132</v>
      </c>
      <c r="AU225" s="191" t="s">
        <v>82</v>
      </c>
      <c r="AV225" s="189" t="s">
        <v>82</v>
      </c>
      <c r="AW225" s="189" t="s">
        <v>30</v>
      </c>
      <c r="AX225" s="189" t="s">
        <v>72</v>
      </c>
      <c r="AY225" s="191" t="s">
        <v>127</v>
      </c>
    </row>
    <row r="226" spans="2:65" s="189" customFormat="1" x14ac:dyDescent="0.2">
      <c r="B226" s="188"/>
      <c r="D226" s="190" t="s">
        <v>132</v>
      </c>
      <c r="E226" s="191" t="s">
        <v>1</v>
      </c>
      <c r="F226" s="192" t="s">
        <v>222</v>
      </c>
      <c r="H226" s="193">
        <f>H210</f>
        <v>802.87900000000002</v>
      </c>
      <c r="I226" s="82"/>
      <c r="L226" s="158"/>
      <c r="M226" s="194"/>
      <c r="T226" s="195"/>
      <c r="AT226" s="191" t="s">
        <v>132</v>
      </c>
      <c r="AU226" s="191" t="s">
        <v>82</v>
      </c>
      <c r="AV226" s="189" t="s">
        <v>82</v>
      </c>
      <c r="AW226" s="189" t="s">
        <v>30</v>
      </c>
      <c r="AX226" s="189" t="s">
        <v>72</v>
      </c>
      <c r="AY226" s="191" t="s">
        <v>127</v>
      </c>
    </row>
    <row r="227" spans="2:65" s="189" customFormat="1" x14ac:dyDescent="0.2">
      <c r="B227" s="188"/>
      <c r="D227" s="190" t="s">
        <v>132</v>
      </c>
      <c r="E227" s="191" t="s">
        <v>1</v>
      </c>
      <c r="F227" s="192" t="s">
        <v>860</v>
      </c>
      <c r="H227" s="193">
        <f>H211</f>
        <v>192.00317140000001</v>
      </c>
      <c r="I227" s="82"/>
      <c r="L227" s="158"/>
      <c r="M227" s="194"/>
      <c r="T227" s="195"/>
      <c r="AT227" s="191" t="s">
        <v>132</v>
      </c>
      <c r="AU227" s="191" t="s">
        <v>82</v>
      </c>
      <c r="AV227" s="189" t="s">
        <v>82</v>
      </c>
      <c r="AW227" s="189" t="s">
        <v>30</v>
      </c>
      <c r="AX227" s="189" t="s">
        <v>72</v>
      </c>
      <c r="AY227" s="191" t="s">
        <v>127</v>
      </c>
    </row>
    <row r="228" spans="2:65" s="189" customFormat="1" ht="22.5" x14ac:dyDescent="0.2">
      <c r="B228" s="188"/>
      <c r="D228" s="190" t="s">
        <v>132</v>
      </c>
      <c r="E228" s="191" t="s">
        <v>1</v>
      </c>
      <c r="F228" s="192" t="s">
        <v>953</v>
      </c>
      <c r="H228" s="193">
        <f xml:space="preserve"> (605.4*0.15)+(121.6*0.2)+(1003.8*0.25)+(605.4*0.3)</f>
        <v>547.69999999999993</v>
      </c>
      <c r="I228" s="82"/>
      <c r="L228" s="158"/>
      <c r="M228" s="194"/>
      <c r="T228" s="195"/>
      <c r="AT228" s="191" t="s">
        <v>132</v>
      </c>
      <c r="AU228" s="191" t="s">
        <v>82</v>
      </c>
      <c r="AV228" s="189" t="s">
        <v>82</v>
      </c>
      <c r="AW228" s="189" t="s">
        <v>30</v>
      </c>
      <c r="AX228" s="189" t="s">
        <v>72</v>
      </c>
      <c r="AY228" s="191" t="s">
        <v>127</v>
      </c>
    </row>
    <row r="229" spans="2:65" s="189" customFormat="1" x14ac:dyDescent="0.2">
      <c r="B229" s="188"/>
      <c r="D229" s="190"/>
      <c r="E229" s="191"/>
      <c r="F229" s="192" t="s">
        <v>961</v>
      </c>
      <c r="H229" s="193">
        <f>1606*0.04+2456.76*0.05+605.4*0.1</f>
        <v>247.61800000000002</v>
      </c>
      <c r="I229" s="82"/>
      <c r="L229" s="158"/>
      <c r="M229" s="194"/>
      <c r="T229" s="195"/>
      <c r="AT229" s="191"/>
      <c r="AU229" s="191"/>
      <c r="AY229" s="191"/>
    </row>
    <row r="230" spans="2:65" s="198" customFormat="1" x14ac:dyDescent="0.2">
      <c r="B230" s="197"/>
      <c r="D230" s="190" t="s">
        <v>132</v>
      </c>
      <c r="E230" s="199" t="s">
        <v>1</v>
      </c>
      <c r="F230" s="200" t="s">
        <v>133</v>
      </c>
      <c r="H230" s="201">
        <f>SUM(H223:H229)</f>
        <v>3056.9422766631578</v>
      </c>
      <c r="I230" s="83"/>
      <c r="L230" s="202"/>
      <c r="M230" s="203"/>
      <c r="T230" s="204"/>
      <c r="AT230" s="199" t="s">
        <v>132</v>
      </c>
      <c r="AU230" s="199" t="s">
        <v>82</v>
      </c>
      <c r="AV230" s="198" t="s">
        <v>131</v>
      </c>
      <c r="AW230" s="198" t="s">
        <v>30</v>
      </c>
      <c r="AX230" s="198" t="s">
        <v>80</v>
      </c>
      <c r="AY230" s="199" t="s">
        <v>127</v>
      </c>
    </row>
    <row r="231" spans="2:65" s="99" customFormat="1" ht="33" customHeight="1" x14ac:dyDescent="0.2">
      <c r="B231" s="98"/>
      <c r="C231" s="176">
        <v>27</v>
      </c>
      <c r="D231" s="176" t="s">
        <v>129</v>
      </c>
      <c r="E231" s="177" t="s">
        <v>231</v>
      </c>
      <c r="F231" s="178" t="s">
        <v>232</v>
      </c>
      <c r="G231" s="179" t="s">
        <v>233</v>
      </c>
      <c r="H231" s="180">
        <f>H232</f>
        <v>2184.8273999999997</v>
      </c>
      <c r="I231" s="80"/>
      <c r="J231" s="181">
        <f>ROUND(I231*H231,2)</f>
        <v>0</v>
      </c>
      <c r="K231" s="182"/>
      <c r="L231" s="213"/>
      <c r="M231" s="183" t="s">
        <v>1</v>
      </c>
      <c r="N231" s="184" t="s">
        <v>38</v>
      </c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AR231" s="131" t="s">
        <v>131</v>
      </c>
      <c r="AT231" s="131" t="s">
        <v>129</v>
      </c>
      <c r="AU231" s="131" t="s">
        <v>82</v>
      </c>
      <c r="AY231" s="90" t="s">
        <v>127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90" t="s">
        <v>80</v>
      </c>
      <c r="BK231" s="187">
        <f>ROUND(I231*H231,2)</f>
        <v>0</v>
      </c>
      <c r="BL231" s="90" t="s">
        <v>131</v>
      </c>
      <c r="BM231" s="131" t="s">
        <v>234</v>
      </c>
    </row>
    <row r="232" spans="2:65" s="189" customFormat="1" x14ac:dyDescent="0.2">
      <c r="B232" s="188"/>
      <c r="D232" s="190" t="s">
        <v>132</v>
      </c>
      <c r="E232" s="191" t="s">
        <v>1</v>
      </c>
      <c r="F232" s="192" t="s">
        <v>1041</v>
      </c>
      <c r="H232" s="193">
        <f>1213.793*1.8</f>
        <v>2184.8273999999997</v>
      </c>
      <c r="I232" s="82"/>
      <c r="L232" s="158"/>
      <c r="M232" s="194"/>
      <c r="T232" s="195"/>
      <c r="AT232" s="191" t="s">
        <v>132</v>
      </c>
      <c r="AU232" s="191" t="s">
        <v>82</v>
      </c>
      <c r="AV232" s="189" t="s">
        <v>82</v>
      </c>
      <c r="AW232" s="189" t="s">
        <v>30</v>
      </c>
      <c r="AX232" s="189" t="s">
        <v>72</v>
      </c>
      <c r="AY232" s="191" t="s">
        <v>127</v>
      </c>
    </row>
    <row r="233" spans="2:65" s="99" customFormat="1" ht="16.5" customHeight="1" x14ac:dyDescent="0.2">
      <c r="B233" s="98"/>
      <c r="C233" s="176">
        <v>28</v>
      </c>
      <c r="D233" s="176" t="s">
        <v>129</v>
      </c>
      <c r="E233" s="177" t="s">
        <v>235</v>
      </c>
      <c r="F233" s="178" t="s">
        <v>236</v>
      </c>
      <c r="G233" s="179" t="s">
        <v>180</v>
      </c>
      <c r="H233" s="180">
        <f>H234</f>
        <v>42.400000000000006</v>
      </c>
      <c r="I233" s="80"/>
      <c r="J233" s="181">
        <f>ROUND(I233*H233,2)</f>
        <v>0</v>
      </c>
      <c r="K233" s="182"/>
      <c r="L233" s="213"/>
      <c r="M233" s="183" t="s">
        <v>1</v>
      </c>
      <c r="N233" s="184" t="s">
        <v>38</v>
      </c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AR233" s="131" t="s">
        <v>131</v>
      </c>
      <c r="AT233" s="131" t="s">
        <v>129</v>
      </c>
      <c r="AU233" s="131" t="s">
        <v>82</v>
      </c>
      <c r="AY233" s="90" t="s">
        <v>127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90" t="s">
        <v>80</v>
      </c>
      <c r="BK233" s="187">
        <f>ROUND(I233*H233,2)</f>
        <v>0</v>
      </c>
      <c r="BL233" s="90" t="s">
        <v>131</v>
      </c>
      <c r="BM233" s="131" t="s">
        <v>237</v>
      </c>
    </row>
    <row r="234" spans="2:65" s="189" customFormat="1" x14ac:dyDescent="0.2">
      <c r="B234" s="188"/>
      <c r="D234" s="190" t="s">
        <v>132</v>
      </c>
      <c r="E234" s="191" t="s">
        <v>1</v>
      </c>
      <c r="F234" s="192" t="s">
        <v>840</v>
      </c>
      <c r="H234" s="193">
        <f>212*0.2</f>
        <v>42.400000000000006</v>
      </c>
      <c r="I234" s="82"/>
      <c r="L234" s="158"/>
      <c r="M234" s="194"/>
      <c r="T234" s="195"/>
      <c r="AT234" s="191" t="s">
        <v>132</v>
      </c>
      <c r="AU234" s="191" t="s">
        <v>82</v>
      </c>
      <c r="AV234" s="189" t="s">
        <v>82</v>
      </c>
      <c r="AW234" s="189" t="s">
        <v>30</v>
      </c>
      <c r="AX234" s="189" t="s">
        <v>72</v>
      </c>
      <c r="AY234" s="191" t="s">
        <v>127</v>
      </c>
    </row>
    <row r="235" spans="2:65" s="99" customFormat="1" ht="24.2" customHeight="1" x14ac:dyDescent="0.2">
      <c r="B235" s="98"/>
      <c r="C235" s="176">
        <v>29</v>
      </c>
      <c r="D235" s="176" t="s">
        <v>129</v>
      </c>
      <c r="E235" s="177" t="s">
        <v>238</v>
      </c>
      <c r="F235" s="178" t="s">
        <v>239</v>
      </c>
      <c r="G235" s="179" t="s">
        <v>180</v>
      </c>
      <c r="H235" s="180">
        <f>H239</f>
        <v>1497.9262999999996</v>
      </c>
      <c r="I235" s="80"/>
      <c r="J235" s="181">
        <f>ROUND(I235*H235,2)</f>
        <v>0</v>
      </c>
      <c r="K235" s="182"/>
      <c r="L235" s="213"/>
      <c r="M235" s="183" t="s">
        <v>1</v>
      </c>
      <c r="N235" s="184" t="s">
        <v>38</v>
      </c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AR235" s="131" t="s">
        <v>131</v>
      </c>
      <c r="AT235" s="131" t="s">
        <v>129</v>
      </c>
      <c r="AU235" s="131" t="s">
        <v>82</v>
      </c>
      <c r="AY235" s="90" t="s">
        <v>127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90" t="s">
        <v>80</v>
      </c>
      <c r="BK235" s="187">
        <f>ROUND(I235*H235,2)</f>
        <v>0</v>
      </c>
      <c r="BL235" s="90" t="s">
        <v>131</v>
      </c>
      <c r="BM235" s="131" t="s">
        <v>240</v>
      </c>
    </row>
    <row r="236" spans="2:65" s="189" customFormat="1" x14ac:dyDescent="0.2">
      <c r="B236" s="188"/>
      <c r="D236" s="190" t="s">
        <v>132</v>
      </c>
      <c r="E236" s="191" t="s">
        <v>1</v>
      </c>
      <c r="F236" s="192" t="s">
        <v>841</v>
      </c>
      <c r="H236" s="193">
        <f>H178+H183</f>
        <v>2470.7849999999999</v>
      </c>
      <c r="I236" s="82"/>
      <c r="L236" s="158"/>
      <c r="M236" s="194"/>
      <c r="T236" s="195"/>
      <c r="AT236" s="191" t="s">
        <v>132</v>
      </c>
      <c r="AU236" s="191" t="s">
        <v>82</v>
      </c>
      <c r="AV236" s="189" t="s">
        <v>82</v>
      </c>
      <c r="AW236" s="189" t="s">
        <v>30</v>
      </c>
      <c r="AX236" s="189" t="s">
        <v>72</v>
      </c>
      <c r="AY236" s="191" t="s">
        <v>127</v>
      </c>
    </row>
    <row r="237" spans="2:65" s="189" customFormat="1" ht="22.5" x14ac:dyDescent="0.2">
      <c r="B237" s="188"/>
      <c r="D237" s="190" t="s">
        <v>132</v>
      </c>
      <c r="E237" s="191" t="s">
        <v>1</v>
      </c>
      <c r="F237" s="192" t="s">
        <v>861</v>
      </c>
      <c r="H237" s="193">
        <f xml:space="preserve"> -((1*0.5*H314)+(1*0.52*H331))</f>
        <v>-983.40800000000013</v>
      </c>
      <c r="I237" s="82"/>
      <c r="L237" s="158"/>
      <c r="M237" s="194"/>
      <c r="T237" s="195"/>
      <c r="AT237" s="191" t="s">
        <v>132</v>
      </c>
      <c r="AU237" s="191" t="s">
        <v>82</v>
      </c>
      <c r="AV237" s="189" t="s">
        <v>82</v>
      </c>
      <c r="AW237" s="189" t="s">
        <v>30</v>
      </c>
      <c r="AX237" s="189" t="s">
        <v>72</v>
      </c>
      <c r="AY237" s="191" t="s">
        <v>127</v>
      </c>
    </row>
    <row r="238" spans="2:65" s="189" customFormat="1" ht="22.5" x14ac:dyDescent="0.2">
      <c r="B238" s="188"/>
      <c r="D238" s="190" t="s">
        <v>132</v>
      </c>
      <c r="E238" s="191" t="s">
        <v>1</v>
      </c>
      <c r="F238" s="192" t="s">
        <v>842</v>
      </c>
      <c r="H238" s="193">
        <f>1.7*1.4*1.06+2.16*1.5*1.1+2.55*1.75*1</f>
        <v>10.549299999999999</v>
      </c>
      <c r="I238" s="82"/>
      <c r="L238" s="158"/>
      <c r="M238" s="194"/>
      <c r="T238" s="195"/>
      <c r="AT238" s="191" t="s">
        <v>132</v>
      </c>
      <c r="AU238" s="191" t="s">
        <v>82</v>
      </c>
      <c r="AV238" s="189" t="s">
        <v>82</v>
      </c>
      <c r="AW238" s="189" t="s">
        <v>30</v>
      </c>
      <c r="AX238" s="189" t="s">
        <v>72</v>
      </c>
      <c r="AY238" s="191" t="s">
        <v>127</v>
      </c>
    </row>
    <row r="239" spans="2:65" s="198" customFormat="1" x14ac:dyDescent="0.2">
      <c r="B239" s="197"/>
      <c r="D239" s="190" t="s">
        <v>132</v>
      </c>
      <c r="E239" s="199" t="s">
        <v>1</v>
      </c>
      <c r="F239" s="200" t="s">
        <v>133</v>
      </c>
      <c r="H239" s="201">
        <f>SUM(H236:H238)</f>
        <v>1497.9262999999996</v>
      </c>
      <c r="I239" s="83"/>
      <c r="L239" s="202"/>
      <c r="M239" s="203"/>
      <c r="T239" s="204"/>
      <c r="AT239" s="199" t="s">
        <v>132</v>
      </c>
      <c r="AU239" s="199" t="s">
        <v>82</v>
      </c>
      <c r="AV239" s="198" t="s">
        <v>131</v>
      </c>
      <c r="AW239" s="198" t="s">
        <v>30</v>
      </c>
      <c r="AX239" s="198" t="s">
        <v>80</v>
      </c>
      <c r="AY239" s="199" t="s">
        <v>127</v>
      </c>
    </row>
    <row r="240" spans="2:65" s="99" customFormat="1" ht="16.5" customHeight="1" x14ac:dyDescent="0.2">
      <c r="B240" s="98"/>
      <c r="C240" s="214">
        <v>30</v>
      </c>
      <c r="D240" s="214" t="s">
        <v>241</v>
      </c>
      <c r="E240" s="215" t="s">
        <v>242</v>
      </c>
      <c r="F240" s="216" t="s">
        <v>243</v>
      </c>
      <c r="G240" s="217" t="s">
        <v>233</v>
      </c>
      <c r="H240" s="218">
        <f>H244</f>
        <v>1339.6937999999996</v>
      </c>
      <c r="I240" s="85"/>
      <c r="J240" s="219">
        <f>ROUND(I240*H240,2)</f>
        <v>0</v>
      </c>
      <c r="K240" s="220"/>
      <c r="L240" s="213"/>
      <c r="M240" s="221" t="s">
        <v>1</v>
      </c>
      <c r="N240" s="222" t="s">
        <v>38</v>
      </c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AR240" s="131" t="s">
        <v>148</v>
      </c>
      <c r="AT240" s="131" t="s">
        <v>241</v>
      </c>
      <c r="AU240" s="131" t="s">
        <v>82</v>
      </c>
      <c r="AY240" s="90" t="s">
        <v>127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90" t="s">
        <v>80</v>
      </c>
      <c r="BK240" s="187">
        <f>ROUND(I240*H240,2)</f>
        <v>0</v>
      </c>
      <c r="BL240" s="90" t="s">
        <v>131</v>
      </c>
      <c r="BM240" s="131" t="s">
        <v>244</v>
      </c>
    </row>
    <row r="241" spans="2:65 16384:16384" s="189" customFormat="1" ht="22.5" x14ac:dyDescent="0.2">
      <c r="B241" s="188"/>
      <c r="D241" s="190" t="s">
        <v>132</v>
      </c>
      <c r="E241" s="191" t="s">
        <v>1</v>
      </c>
      <c r="F241" s="192" t="s">
        <v>844</v>
      </c>
      <c r="H241" s="193">
        <f>1213.793*1.9</f>
        <v>2306.2066999999997</v>
      </c>
      <c r="I241" s="82"/>
      <c r="L241" s="158"/>
      <c r="M241" s="194"/>
      <c r="T241" s="195"/>
      <c r="AT241" s="191" t="s">
        <v>132</v>
      </c>
      <c r="AU241" s="191" t="s">
        <v>82</v>
      </c>
      <c r="AV241" s="189" t="s">
        <v>82</v>
      </c>
      <c r="AW241" s="189" t="s">
        <v>30</v>
      </c>
      <c r="AX241" s="189" t="s">
        <v>72</v>
      </c>
      <c r="AY241" s="191" t="s">
        <v>127</v>
      </c>
    </row>
    <row r="242" spans="2:65 16384:16384" s="189" customFormat="1" x14ac:dyDescent="0.2">
      <c r="B242" s="188"/>
      <c r="D242" s="190"/>
      <c r="E242" s="191"/>
      <c r="F242" s="192" t="s">
        <v>845</v>
      </c>
      <c r="H242" s="193">
        <f>10.549*1.9</f>
        <v>20.043099999999999</v>
      </c>
      <c r="I242" s="82"/>
      <c r="L242" s="158"/>
      <c r="M242" s="194"/>
      <c r="T242" s="195"/>
      <c r="AT242" s="191"/>
      <c r="AU242" s="191"/>
      <c r="AY242" s="191"/>
    </row>
    <row r="243" spans="2:65 16384:16384" s="189" customFormat="1" x14ac:dyDescent="0.2">
      <c r="B243" s="188"/>
      <c r="D243" s="190" t="s">
        <v>132</v>
      </c>
      <c r="E243" s="191" t="s">
        <v>1</v>
      </c>
      <c r="F243" s="192" t="s">
        <v>1035</v>
      </c>
      <c r="H243" s="193">
        <f>-1730.8*0.3*1.9</f>
        <v>-986.55599999999993</v>
      </c>
      <c r="I243" s="82"/>
      <c r="L243" s="158"/>
      <c r="M243" s="194"/>
      <c r="T243" s="195"/>
      <c r="AT243" s="191" t="s">
        <v>132</v>
      </c>
      <c r="AU243" s="191" t="s">
        <v>82</v>
      </c>
      <c r="AV243" s="189" t="s">
        <v>82</v>
      </c>
      <c r="AW243" s="189" t="s">
        <v>30</v>
      </c>
      <c r="AX243" s="189" t="s">
        <v>72</v>
      </c>
      <c r="AY243" s="191" t="s">
        <v>127</v>
      </c>
    </row>
    <row r="244" spans="2:65 16384:16384" s="198" customFormat="1" x14ac:dyDescent="0.2">
      <c r="B244" s="197"/>
      <c r="D244" s="190" t="s">
        <v>132</v>
      </c>
      <c r="E244" s="199" t="s">
        <v>1</v>
      </c>
      <c r="F244" s="200" t="s">
        <v>133</v>
      </c>
      <c r="H244" s="201">
        <f>SUM(H241:H243)</f>
        <v>1339.6937999999996</v>
      </c>
      <c r="I244" s="83"/>
      <c r="L244" s="202"/>
      <c r="M244" s="203"/>
      <c r="T244" s="204"/>
      <c r="AT244" s="199" t="s">
        <v>132</v>
      </c>
      <c r="AU244" s="199" t="s">
        <v>82</v>
      </c>
      <c r="AV244" s="198" t="s">
        <v>131</v>
      </c>
      <c r="AW244" s="198" t="s">
        <v>30</v>
      </c>
      <c r="AX244" s="198" t="s">
        <v>80</v>
      </c>
      <c r="AY244" s="199" t="s">
        <v>127</v>
      </c>
      <c r="XFD244" s="198">
        <f>SUM(A244:XFC244)</f>
        <v>1339.6937999999996</v>
      </c>
    </row>
    <row r="245" spans="2:65 16384:16384" s="99" customFormat="1" ht="24.2" customHeight="1" x14ac:dyDescent="0.2">
      <c r="B245" s="98"/>
      <c r="C245" s="176">
        <v>31</v>
      </c>
      <c r="D245" s="176" t="s">
        <v>129</v>
      </c>
      <c r="E245" s="177" t="s">
        <v>245</v>
      </c>
      <c r="F245" s="178" t="s">
        <v>246</v>
      </c>
      <c r="G245" s="179" t="s">
        <v>180</v>
      </c>
      <c r="H245" s="180">
        <f>H248</f>
        <v>802.87900000000002</v>
      </c>
      <c r="I245" s="80"/>
      <c r="J245" s="181">
        <f>ROUND(I245*H245,2)</f>
        <v>0</v>
      </c>
      <c r="K245" s="182"/>
      <c r="L245" s="213"/>
      <c r="M245" s="183" t="s">
        <v>1</v>
      </c>
      <c r="N245" s="184" t="s">
        <v>38</v>
      </c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AR245" s="131" t="s">
        <v>131</v>
      </c>
      <c r="AT245" s="131" t="s">
        <v>129</v>
      </c>
      <c r="AU245" s="131" t="s">
        <v>82</v>
      </c>
      <c r="AY245" s="90" t="s">
        <v>127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90" t="s">
        <v>80</v>
      </c>
      <c r="BK245" s="187">
        <f>ROUND(I245*H245,2)</f>
        <v>0</v>
      </c>
      <c r="BL245" s="90" t="s">
        <v>131</v>
      </c>
      <c r="BM245" s="131" t="s">
        <v>247</v>
      </c>
    </row>
    <row r="246" spans="2:65 16384:16384" s="189" customFormat="1" x14ac:dyDescent="0.2">
      <c r="B246" s="188"/>
      <c r="D246" s="190" t="s">
        <v>132</v>
      </c>
      <c r="E246" s="191" t="s">
        <v>1</v>
      </c>
      <c r="F246" s="192" t="s">
        <v>248</v>
      </c>
      <c r="H246" s="193">
        <f>1*0.4*917.14</f>
        <v>366.85599999999999</v>
      </c>
      <c r="I246" s="82"/>
      <c r="L246" s="158"/>
      <c r="M246" s="194"/>
      <c r="T246" s="195"/>
      <c r="AT246" s="191" t="s">
        <v>132</v>
      </c>
      <c r="AU246" s="191" t="s">
        <v>82</v>
      </c>
      <c r="AV246" s="189" t="s">
        <v>82</v>
      </c>
      <c r="AW246" s="189" t="s">
        <v>30</v>
      </c>
      <c r="AX246" s="189" t="s">
        <v>72</v>
      </c>
      <c r="AY246" s="191" t="s">
        <v>127</v>
      </c>
    </row>
    <row r="247" spans="2:65 16384:16384" s="189" customFormat="1" x14ac:dyDescent="0.2">
      <c r="B247" s="188"/>
      <c r="D247" s="190" t="s">
        <v>132</v>
      </c>
      <c r="E247" s="191" t="s">
        <v>1</v>
      </c>
      <c r="F247" s="192" t="s">
        <v>249</v>
      </c>
      <c r="H247" s="193">
        <f>1*0.42*1038.15</f>
        <v>436.02300000000002</v>
      </c>
      <c r="I247" s="82"/>
      <c r="L247" s="158"/>
      <c r="M247" s="194"/>
      <c r="T247" s="195"/>
      <c r="AT247" s="191" t="s">
        <v>132</v>
      </c>
      <c r="AU247" s="191" t="s">
        <v>82</v>
      </c>
      <c r="AV247" s="189" t="s">
        <v>82</v>
      </c>
      <c r="AW247" s="189" t="s">
        <v>30</v>
      </c>
      <c r="AX247" s="189" t="s">
        <v>72</v>
      </c>
      <c r="AY247" s="191" t="s">
        <v>127</v>
      </c>
    </row>
    <row r="248" spans="2:65 16384:16384" s="198" customFormat="1" x14ac:dyDescent="0.2">
      <c r="B248" s="197"/>
      <c r="D248" s="190" t="s">
        <v>132</v>
      </c>
      <c r="E248" s="199" t="s">
        <v>1</v>
      </c>
      <c r="F248" s="200" t="s">
        <v>133</v>
      </c>
      <c r="H248" s="201">
        <f>SUM(H246:H247)</f>
        <v>802.87900000000002</v>
      </c>
      <c r="I248" s="83"/>
      <c r="L248" s="202"/>
      <c r="M248" s="203"/>
      <c r="T248" s="204"/>
      <c r="AT248" s="199" t="s">
        <v>132</v>
      </c>
      <c r="AU248" s="199" t="s">
        <v>82</v>
      </c>
      <c r="AV248" s="198" t="s">
        <v>131</v>
      </c>
      <c r="AW248" s="198" t="s">
        <v>30</v>
      </c>
      <c r="AX248" s="198" t="s">
        <v>80</v>
      </c>
      <c r="AY248" s="199" t="s">
        <v>127</v>
      </c>
    </row>
    <row r="249" spans="2:65 16384:16384" s="99" customFormat="1" ht="16.5" customHeight="1" x14ac:dyDescent="0.2">
      <c r="B249" s="98"/>
      <c r="C249" s="214">
        <v>32</v>
      </c>
      <c r="D249" s="214" t="s">
        <v>241</v>
      </c>
      <c r="E249" s="215" t="s">
        <v>250</v>
      </c>
      <c r="F249" s="216" t="s">
        <v>251</v>
      </c>
      <c r="G249" s="217" t="s">
        <v>233</v>
      </c>
      <c r="H249" s="218">
        <f>H250</f>
        <v>1525.4701</v>
      </c>
      <c r="I249" s="85"/>
      <c r="J249" s="219">
        <f>ROUND(I249*H249,2)</f>
        <v>0</v>
      </c>
      <c r="K249" s="220"/>
      <c r="L249" s="213"/>
      <c r="M249" s="221" t="s">
        <v>1</v>
      </c>
      <c r="N249" s="222" t="s">
        <v>38</v>
      </c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AR249" s="131" t="s">
        <v>148</v>
      </c>
      <c r="AT249" s="131" t="s">
        <v>241</v>
      </c>
      <c r="AU249" s="131" t="s">
        <v>82</v>
      </c>
      <c r="AY249" s="90" t="s">
        <v>127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90" t="s">
        <v>80</v>
      </c>
      <c r="BK249" s="187">
        <f>ROUND(I249*H249,2)</f>
        <v>0</v>
      </c>
      <c r="BL249" s="90" t="s">
        <v>131</v>
      </c>
      <c r="BM249" s="131" t="s">
        <v>252</v>
      </c>
    </row>
    <row r="250" spans="2:65 16384:16384" s="189" customFormat="1" x14ac:dyDescent="0.2">
      <c r="B250" s="188"/>
      <c r="D250" s="190" t="s">
        <v>132</v>
      </c>
      <c r="E250" s="191" t="s">
        <v>1</v>
      </c>
      <c r="F250" s="192" t="s">
        <v>983</v>
      </c>
      <c r="H250" s="193">
        <f>802.879*1.9</f>
        <v>1525.4701</v>
      </c>
      <c r="I250" s="82"/>
      <c r="L250" s="158"/>
      <c r="M250" s="194"/>
      <c r="T250" s="195"/>
      <c r="AT250" s="191" t="s">
        <v>132</v>
      </c>
      <c r="AU250" s="191" t="s">
        <v>82</v>
      </c>
      <c r="AV250" s="189" t="s">
        <v>82</v>
      </c>
      <c r="AW250" s="189" t="s">
        <v>30</v>
      </c>
      <c r="AX250" s="189" t="s">
        <v>72</v>
      </c>
      <c r="AY250" s="191" t="s">
        <v>127</v>
      </c>
    </row>
    <row r="251" spans="2:65 16384:16384" s="99" customFormat="1" ht="33" customHeight="1" x14ac:dyDescent="0.2">
      <c r="B251" s="98"/>
      <c r="C251" s="176">
        <v>33</v>
      </c>
      <c r="D251" s="176" t="s">
        <v>129</v>
      </c>
      <c r="E251" s="177" t="s">
        <v>253</v>
      </c>
      <c r="F251" s="178" t="s">
        <v>254</v>
      </c>
      <c r="G251" s="179" t="s">
        <v>130</v>
      </c>
      <c r="H251" s="180">
        <f>H253</f>
        <v>212</v>
      </c>
      <c r="I251" s="80"/>
      <c r="J251" s="181">
        <f>ROUND(I251*H251,2)</f>
        <v>0</v>
      </c>
      <c r="K251" s="182"/>
      <c r="L251" s="213"/>
      <c r="M251" s="183" t="s">
        <v>1</v>
      </c>
      <c r="N251" s="184" t="s">
        <v>38</v>
      </c>
      <c r="P251" s="185">
        <f>O251*H251</f>
        <v>0</v>
      </c>
      <c r="Q251" s="185">
        <v>0</v>
      </c>
      <c r="R251" s="185">
        <f>Q251*H251</f>
        <v>0</v>
      </c>
      <c r="S251" s="185">
        <v>0</v>
      </c>
      <c r="T251" s="186">
        <f>S251*H251</f>
        <v>0</v>
      </c>
      <c r="AR251" s="131" t="s">
        <v>131</v>
      </c>
      <c r="AT251" s="131" t="s">
        <v>129</v>
      </c>
      <c r="AU251" s="131" t="s">
        <v>82</v>
      </c>
      <c r="AY251" s="90" t="s">
        <v>127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90" t="s">
        <v>80</v>
      </c>
      <c r="BK251" s="187">
        <f>ROUND(I251*H251,2)</f>
        <v>0</v>
      </c>
      <c r="BL251" s="90" t="s">
        <v>131</v>
      </c>
      <c r="BM251" s="131" t="s">
        <v>255</v>
      </c>
    </row>
    <row r="252" spans="2:65 16384:16384" s="207" customFormat="1" x14ac:dyDescent="0.2">
      <c r="B252" s="206"/>
      <c r="D252" s="190" t="s">
        <v>132</v>
      </c>
      <c r="E252" s="208" t="s">
        <v>1</v>
      </c>
      <c r="F252" s="209" t="s">
        <v>143</v>
      </c>
      <c r="H252" s="208" t="s">
        <v>1</v>
      </c>
      <c r="I252" s="84"/>
      <c r="L252" s="210"/>
      <c r="M252" s="211"/>
      <c r="T252" s="212"/>
      <c r="AT252" s="208" t="s">
        <v>132</v>
      </c>
      <c r="AU252" s="208" t="s">
        <v>82</v>
      </c>
      <c r="AV252" s="207" t="s">
        <v>80</v>
      </c>
      <c r="AW252" s="207" t="s">
        <v>30</v>
      </c>
      <c r="AX252" s="207" t="s">
        <v>72</v>
      </c>
      <c r="AY252" s="208" t="s">
        <v>127</v>
      </c>
    </row>
    <row r="253" spans="2:65 16384:16384" s="189" customFormat="1" x14ac:dyDescent="0.2">
      <c r="B253" s="188"/>
      <c r="D253" s="190" t="s">
        <v>132</v>
      </c>
      <c r="E253" s="191" t="s">
        <v>1</v>
      </c>
      <c r="F253" s="192" t="s">
        <v>837</v>
      </c>
      <c r="H253" s="158">
        <f>(54+32+14+100+12)*1</f>
        <v>212</v>
      </c>
      <c r="I253" s="82"/>
      <c r="L253" s="158"/>
      <c r="M253" s="194"/>
      <c r="T253" s="195"/>
      <c r="AT253" s="191" t="s">
        <v>132</v>
      </c>
      <c r="AU253" s="191" t="s">
        <v>82</v>
      </c>
      <c r="AV253" s="189" t="s">
        <v>82</v>
      </c>
      <c r="AW253" s="189" t="s">
        <v>30</v>
      </c>
      <c r="AX253" s="189" t="s">
        <v>72</v>
      </c>
      <c r="AY253" s="191" t="s">
        <v>127</v>
      </c>
    </row>
    <row r="254" spans="2:65 16384:16384" s="99" customFormat="1" ht="24.2" customHeight="1" x14ac:dyDescent="0.2">
      <c r="B254" s="98"/>
      <c r="C254" s="176">
        <v>34</v>
      </c>
      <c r="D254" s="176" t="s">
        <v>129</v>
      </c>
      <c r="E254" s="177" t="s">
        <v>256</v>
      </c>
      <c r="F254" s="178" t="s">
        <v>257</v>
      </c>
      <c r="G254" s="179" t="s">
        <v>130</v>
      </c>
      <c r="H254" s="180">
        <f>H256</f>
        <v>212</v>
      </c>
      <c r="I254" s="80"/>
      <c r="J254" s="181">
        <f>ROUND(I254*H254,2)</f>
        <v>0</v>
      </c>
      <c r="K254" s="182"/>
      <c r="L254" s="213"/>
      <c r="M254" s="183" t="s">
        <v>1</v>
      </c>
      <c r="N254" s="184" t="s">
        <v>38</v>
      </c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AR254" s="131" t="s">
        <v>131</v>
      </c>
      <c r="AT254" s="131" t="s">
        <v>129</v>
      </c>
      <c r="AU254" s="131" t="s">
        <v>82</v>
      </c>
      <c r="AY254" s="90" t="s">
        <v>127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90" t="s">
        <v>80</v>
      </c>
      <c r="BK254" s="187">
        <f>ROUND(I254*H254,2)</f>
        <v>0</v>
      </c>
      <c r="BL254" s="90" t="s">
        <v>131</v>
      </c>
      <c r="BM254" s="131" t="s">
        <v>258</v>
      </c>
    </row>
    <row r="255" spans="2:65 16384:16384" s="207" customFormat="1" x14ac:dyDescent="0.2">
      <c r="B255" s="206"/>
      <c r="D255" s="190" t="s">
        <v>132</v>
      </c>
      <c r="E255" s="208" t="s">
        <v>1</v>
      </c>
      <c r="F255" s="209" t="s">
        <v>143</v>
      </c>
      <c r="H255" s="208" t="s">
        <v>1</v>
      </c>
      <c r="I255" s="84"/>
      <c r="L255" s="210"/>
      <c r="M255" s="211"/>
      <c r="T255" s="212"/>
      <c r="AT255" s="208" t="s">
        <v>132</v>
      </c>
      <c r="AU255" s="208" t="s">
        <v>82</v>
      </c>
      <c r="AV255" s="207" t="s">
        <v>80</v>
      </c>
      <c r="AW255" s="207" t="s">
        <v>30</v>
      </c>
      <c r="AX255" s="207" t="s">
        <v>72</v>
      </c>
      <c r="AY255" s="208" t="s">
        <v>127</v>
      </c>
    </row>
    <row r="256" spans="2:65 16384:16384" s="189" customFormat="1" x14ac:dyDescent="0.2">
      <c r="B256" s="188"/>
      <c r="D256" s="190" t="s">
        <v>132</v>
      </c>
      <c r="E256" s="191" t="s">
        <v>1</v>
      </c>
      <c r="F256" s="192" t="s">
        <v>837</v>
      </c>
      <c r="H256" s="158">
        <f>(54+32+14+100+12)*1</f>
        <v>212</v>
      </c>
      <c r="I256" s="82"/>
      <c r="L256" s="158"/>
      <c r="M256" s="194"/>
      <c r="T256" s="195"/>
      <c r="AT256" s="191" t="s">
        <v>132</v>
      </c>
      <c r="AU256" s="191" t="s">
        <v>82</v>
      </c>
      <c r="AV256" s="189" t="s">
        <v>82</v>
      </c>
      <c r="AW256" s="189" t="s">
        <v>30</v>
      </c>
      <c r="AX256" s="189" t="s">
        <v>72</v>
      </c>
      <c r="AY256" s="191" t="s">
        <v>127</v>
      </c>
    </row>
    <row r="257" spans="2:65" s="99" customFormat="1" ht="16.5" customHeight="1" x14ac:dyDescent="0.2">
      <c r="B257" s="98"/>
      <c r="C257" s="214">
        <v>35</v>
      </c>
      <c r="D257" s="214" t="s">
        <v>241</v>
      </c>
      <c r="E257" s="215" t="s">
        <v>259</v>
      </c>
      <c r="F257" s="216" t="s">
        <v>260</v>
      </c>
      <c r="G257" s="217" t="s">
        <v>261</v>
      </c>
      <c r="H257" s="218">
        <f>H258</f>
        <v>3.1799999999999997</v>
      </c>
      <c r="I257" s="85"/>
      <c r="J257" s="219">
        <f>ROUND(I257*H257,2)</f>
        <v>0</v>
      </c>
      <c r="K257" s="220"/>
      <c r="L257" s="213"/>
      <c r="M257" s="221" t="s">
        <v>1</v>
      </c>
      <c r="N257" s="222" t="s">
        <v>38</v>
      </c>
      <c r="P257" s="185">
        <f>O257*H257</f>
        <v>0</v>
      </c>
      <c r="Q257" s="185">
        <v>1E-3</v>
      </c>
      <c r="R257" s="185">
        <f>Q257*H257</f>
        <v>3.1799999999999997E-3</v>
      </c>
      <c r="S257" s="185">
        <v>0</v>
      </c>
      <c r="T257" s="186">
        <f>S257*H257</f>
        <v>0</v>
      </c>
      <c r="AR257" s="131" t="s">
        <v>148</v>
      </c>
      <c r="AT257" s="131" t="s">
        <v>241</v>
      </c>
      <c r="AU257" s="131" t="s">
        <v>82</v>
      </c>
      <c r="AY257" s="90" t="s">
        <v>127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90" t="s">
        <v>80</v>
      </c>
      <c r="BK257" s="187">
        <f>ROUND(I257*H257,2)</f>
        <v>0</v>
      </c>
      <c r="BL257" s="90" t="s">
        <v>131</v>
      </c>
      <c r="BM257" s="131" t="s">
        <v>262</v>
      </c>
    </row>
    <row r="258" spans="2:65" s="189" customFormat="1" x14ac:dyDescent="0.2">
      <c r="B258" s="188"/>
      <c r="D258" s="190" t="s">
        <v>132</v>
      </c>
      <c r="F258" s="192" t="s">
        <v>846</v>
      </c>
      <c r="H258" s="193">
        <f>212*0.015</f>
        <v>3.1799999999999997</v>
      </c>
      <c r="I258" s="82"/>
      <c r="L258" s="158"/>
      <c r="M258" s="194"/>
      <c r="T258" s="195"/>
      <c r="AT258" s="191" t="s">
        <v>132</v>
      </c>
      <c r="AU258" s="191" t="s">
        <v>82</v>
      </c>
      <c r="AV258" s="189" t="s">
        <v>82</v>
      </c>
      <c r="AW258" s="189" t="s">
        <v>3</v>
      </c>
      <c r="AX258" s="189" t="s">
        <v>80</v>
      </c>
      <c r="AY258" s="191" t="s">
        <v>127</v>
      </c>
    </row>
    <row r="259" spans="2:65" s="99" customFormat="1" ht="24.2" customHeight="1" x14ac:dyDescent="0.2">
      <c r="B259" s="98"/>
      <c r="C259" s="176">
        <v>36</v>
      </c>
      <c r="D259" s="176" t="s">
        <v>129</v>
      </c>
      <c r="E259" s="177" t="s">
        <v>263</v>
      </c>
      <c r="F259" s="178" t="s">
        <v>264</v>
      </c>
      <c r="G259" s="179" t="s">
        <v>233</v>
      </c>
      <c r="H259" s="180">
        <f>H260</f>
        <v>10.415999999999999</v>
      </c>
      <c r="I259" s="80"/>
      <c r="J259" s="181">
        <f>ROUND(I259*H259,2)</f>
        <v>0</v>
      </c>
      <c r="K259" s="182"/>
      <c r="L259" s="213"/>
      <c r="M259" s="183" t="s">
        <v>1</v>
      </c>
      <c r="N259" s="184" t="s">
        <v>38</v>
      </c>
      <c r="P259" s="185">
        <f>O259*H259</f>
        <v>0</v>
      </c>
      <c r="Q259" s="185">
        <v>0</v>
      </c>
      <c r="R259" s="185">
        <f>Q259*H259</f>
        <v>0</v>
      </c>
      <c r="S259" s="185">
        <v>0</v>
      </c>
      <c r="T259" s="186">
        <f>S259*H259</f>
        <v>0</v>
      </c>
      <c r="AR259" s="131" t="s">
        <v>131</v>
      </c>
      <c r="AT259" s="131" t="s">
        <v>129</v>
      </c>
      <c r="AU259" s="131" t="s">
        <v>82</v>
      </c>
      <c r="AY259" s="90" t="s">
        <v>127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90" t="s">
        <v>80</v>
      </c>
      <c r="BK259" s="187">
        <f>ROUND(I259*H259,2)</f>
        <v>0</v>
      </c>
      <c r="BL259" s="90" t="s">
        <v>131</v>
      </c>
      <c r="BM259" s="131" t="s">
        <v>265</v>
      </c>
    </row>
    <row r="260" spans="2:65" s="189" customFormat="1" x14ac:dyDescent="0.2">
      <c r="B260" s="188"/>
      <c r="D260" s="190" t="s">
        <v>132</v>
      </c>
      <c r="E260" s="191" t="s">
        <v>1</v>
      </c>
      <c r="F260" s="192" t="s">
        <v>1061</v>
      </c>
      <c r="H260" s="193">
        <f>4.34*2.4</f>
        <v>10.415999999999999</v>
      </c>
      <c r="I260" s="82"/>
      <c r="L260" s="158"/>
      <c r="M260" s="194"/>
      <c r="T260" s="195"/>
      <c r="AT260" s="191" t="s">
        <v>132</v>
      </c>
      <c r="AU260" s="191" t="s">
        <v>82</v>
      </c>
      <c r="AV260" s="189" t="s">
        <v>82</v>
      </c>
      <c r="AW260" s="189" t="s">
        <v>30</v>
      </c>
      <c r="AX260" s="189" t="s">
        <v>72</v>
      </c>
      <c r="AY260" s="191" t="s">
        <v>127</v>
      </c>
    </row>
    <row r="261" spans="2:65" s="164" customFormat="1" ht="22.9" customHeight="1" x14ac:dyDescent="0.2">
      <c r="B261" s="163"/>
      <c r="D261" s="165" t="s">
        <v>71</v>
      </c>
      <c r="E261" s="174" t="s">
        <v>131</v>
      </c>
      <c r="F261" s="174" t="s">
        <v>266</v>
      </c>
      <c r="I261" s="79"/>
      <c r="J261" s="175">
        <f>SUM(J262:J266)</f>
        <v>0</v>
      </c>
      <c r="L261" s="168"/>
      <c r="M261" s="169"/>
      <c r="P261" s="170">
        <f>SUM(P262:P270)</f>
        <v>0</v>
      </c>
      <c r="R261" s="170">
        <f>SUM(R262:R270)</f>
        <v>0</v>
      </c>
      <c r="T261" s="171">
        <f>SUM(T262:T270)</f>
        <v>0</v>
      </c>
      <c r="AR261" s="165" t="s">
        <v>80</v>
      </c>
      <c r="AT261" s="172" t="s">
        <v>71</v>
      </c>
      <c r="AU261" s="172" t="s">
        <v>80</v>
      </c>
      <c r="AY261" s="165" t="s">
        <v>127</v>
      </c>
      <c r="BK261" s="173">
        <f>SUM(BK262:BK270)</f>
        <v>0</v>
      </c>
    </row>
    <row r="262" spans="2:65" s="99" customFormat="1" ht="16.5" customHeight="1" x14ac:dyDescent="0.2">
      <c r="B262" s="98"/>
      <c r="C262" s="176">
        <v>37</v>
      </c>
      <c r="D262" s="176" t="s">
        <v>129</v>
      </c>
      <c r="E262" s="177" t="s">
        <v>267</v>
      </c>
      <c r="F262" s="178" t="s">
        <v>268</v>
      </c>
      <c r="G262" s="179" t="s">
        <v>180</v>
      </c>
      <c r="H262" s="180">
        <f>H265</f>
        <v>192.00317140000001</v>
      </c>
      <c r="I262" s="81"/>
      <c r="J262" s="181">
        <f>ROUND(I262*H262,2)</f>
        <v>0</v>
      </c>
      <c r="K262" s="182"/>
      <c r="L262" s="213"/>
      <c r="M262" s="223" t="s">
        <v>1</v>
      </c>
      <c r="N262" s="184" t="s">
        <v>38</v>
      </c>
      <c r="P262" s="185">
        <f>O262*H262</f>
        <v>0</v>
      </c>
      <c r="Q262" s="185">
        <v>0</v>
      </c>
      <c r="R262" s="185">
        <f>Q262*H262</f>
        <v>0</v>
      </c>
      <c r="S262" s="185">
        <v>0</v>
      </c>
      <c r="T262" s="186">
        <f>S262*H262</f>
        <v>0</v>
      </c>
      <c r="AR262" s="131" t="s">
        <v>131</v>
      </c>
      <c r="AT262" s="131" t="s">
        <v>129</v>
      </c>
      <c r="AU262" s="131" t="s">
        <v>82</v>
      </c>
      <c r="AY262" s="90" t="s">
        <v>127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90" t="s">
        <v>80</v>
      </c>
      <c r="BK262" s="187">
        <f>ROUND(I262*H262,2)</f>
        <v>0</v>
      </c>
      <c r="BL262" s="90" t="s">
        <v>131</v>
      </c>
      <c r="BM262" s="131" t="s">
        <v>269</v>
      </c>
    </row>
    <row r="263" spans="2:65" s="189" customFormat="1" x14ac:dyDescent="0.2">
      <c r="B263" s="188"/>
      <c r="D263" s="190" t="s">
        <v>132</v>
      </c>
      <c r="E263" s="191" t="s">
        <v>1</v>
      </c>
      <c r="F263" s="192" t="s">
        <v>859</v>
      </c>
      <c r="H263" s="193">
        <f>1*0.1*881.881714</f>
        <v>88.188171400000002</v>
      </c>
      <c r="I263" s="82"/>
      <c r="L263" s="168"/>
      <c r="M263" s="194"/>
      <c r="T263" s="195"/>
      <c r="AT263" s="191" t="s">
        <v>132</v>
      </c>
      <c r="AU263" s="191" t="s">
        <v>82</v>
      </c>
      <c r="AV263" s="189" t="s">
        <v>82</v>
      </c>
      <c r="AW263" s="189" t="s">
        <v>30</v>
      </c>
      <c r="AX263" s="189" t="s">
        <v>72</v>
      </c>
      <c r="AY263" s="191" t="s">
        <v>127</v>
      </c>
    </row>
    <row r="264" spans="2:65" s="189" customFormat="1" x14ac:dyDescent="0.2">
      <c r="B264" s="188"/>
      <c r="D264" s="190" t="s">
        <v>132</v>
      </c>
      <c r="E264" s="191" t="s">
        <v>1</v>
      </c>
      <c r="F264" s="192" t="s">
        <v>270</v>
      </c>
      <c r="H264" s="193">
        <f>1*0.1*1038.15</f>
        <v>103.81500000000001</v>
      </c>
      <c r="I264" s="82"/>
      <c r="L264" s="158"/>
      <c r="M264" s="194"/>
      <c r="T264" s="195"/>
      <c r="AT264" s="191" t="s">
        <v>132</v>
      </c>
      <c r="AU264" s="191" t="s">
        <v>82</v>
      </c>
      <c r="AV264" s="189" t="s">
        <v>82</v>
      </c>
      <c r="AW264" s="189" t="s">
        <v>30</v>
      </c>
      <c r="AX264" s="189" t="s">
        <v>72</v>
      </c>
      <c r="AY264" s="191" t="s">
        <v>127</v>
      </c>
    </row>
    <row r="265" spans="2:65" s="198" customFormat="1" x14ac:dyDescent="0.2">
      <c r="B265" s="197"/>
      <c r="D265" s="190" t="s">
        <v>132</v>
      </c>
      <c r="E265" s="199" t="s">
        <v>1</v>
      </c>
      <c r="F265" s="200" t="s">
        <v>133</v>
      </c>
      <c r="H265" s="201">
        <f>SUM(H263:H264)</f>
        <v>192.00317140000001</v>
      </c>
      <c r="I265" s="83"/>
      <c r="L265" s="202"/>
      <c r="M265" s="203"/>
      <c r="T265" s="204"/>
      <c r="AT265" s="199" t="s">
        <v>132</v>
      </c>
      <c r="AU265" s="199" t="s">
        <v>82</v>
      </c>
      <c r="AV265" s="198" t="s">
        <v>131</v>
      </c>
      <c r="AW265" s="198" t="s">
        <v>30</v>
      </c>
      <c r="AX265" s="198" t="s">
        <v>80</v>
      </c>
      <c r="AY265" s="199" t="s">
        <v>127</v>
      </c>
    </row>
    <row r="266" spans="2:65" s="99" customFormat="1" ht="33" customHeight="1" x14ac:dyDescent="0.2">
      <c r="B266" s="98"/>
      <c r="C266" s="176">
        <v>38</v>
      </c>
      <c r="D266" s="176" t="s">
        <v>129</v>
      </c>
      <c r="E266" s="177"/>
      <c r="F266" s="178" t="s">
        <v>850</v>
      </c>
      <c r="G266" s="179" t="s">
        <v>180</v>
      </c>
      <c r="H266" s="180">
        <f>H270</f>
        <v>3.7099999999999995</v>
      </c>
      <c r="I266" s="80"/>
      <c r="J266" s="181">
        <f>ROUND(I266*H266,2)</f>
        <v>0</v>
      </c>
      <c r="K266" s="182"/>
      <c r="L266" s="196"/>
      <c r="M266" s="183" t="s">
        <v>1</v>
      </c>
      <c r="N266" s="184" t="s">
        <v>38</v>
      </c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AR266" s="131" t="s">
        <v>131</v>
      </c>
      <c r="AT266" s="131" t="s">
        <v>129</v>
      </c>
      <c r="AU266" s="131" t="s">
        <v>82</v>
      </c>
      <c r="AY266" s="90" t="s">
        <v>127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90" t="s">
        <v>80</v>
      </c>
      <c r="BK266" s="187">
        <f>ROUND(I266*H266,2)</f>
        <v>0</v>
      </c>
      <c r="BL266" s="90" t="s">
        <v>131</v>
      </c>
      <c r="BM266" s="131" t="s">
        <v>271</v>
      </c>
    </row>
    <row r="267" spans="2:65" s="207" customFormat="1" x14ac:dyDescent="0.2">
      <c r="B267" s="206"/>
      <c r="D267" s="190" t="s">
        <v>132</v>
      </c>
      <c r="E267" s="208" t="s">
        <v>1</v>
      </c>
      <c r="F267" s="209" t="s">
        <v>272</v>
      </c>
      <c r="H267" s="208" t="s">
        <v>1</v>
      </c>
      <c r="I267" s="84"/>
      <c r="L267" s="210"/>
      <c r="M267" s="211"/>
      <c r="T267" s="212"/>
      <c r="AT267" s="208" t="s">
        <v>132</v>
      </c>
      <c r="AU267" s="208" t="s">
        <v>82</v>
      </c>
      <c r="AV267" s="207" t="s">
        <v>80</v>
      </c>
      <c r="AW267" s="207" t="s">
        <v>30</v>
      </c>
      <c r="AX267" s="207" t="s">
        <v>72</v>
      </c>
      <c r="AY267" s="208" t="s">
        <v>127</v>
      </c>
    </row>
    <row r="268" spans="2:65" s="189" customFormat="1" x14ac:dyDescent="0.2">
      <c r="B268" s="188"/>
      <c r="D268" s="190" t="s">
        <v>132</v>
      </c>
      <c r="E268" s="191" t="s">
        <v>1</v>
      </c>
      <c r="F268" s="192" t="s">
        <v>1032</v>
      </c>
      <c r="H268" s="193">
        <f>0.5*0.3*0.25*(37+59)</f>
        <v>3.5999999999999996</v>
      </c>
      <c r="I268" s="82"/>
      <c r="L268" s="158"/>
      <c r="M268" s="194"/>
      <c r="T268" s="195"/>
      <c r="AT268" s="191" t="s">
        <v>132</v>
      </c>
      <c r="AU268" s="191" t="s">
        <v>82</v>
      </c>
      <c r="AV268" s="189" t="s">
        <v>82</v>
      </c>
      <c r="AW268" s="189" t="s">
        <v>30</v>
      </c>
      <c r="AX268" s="189" t="s">
        <v>72</v>
      </c>
      <c r="AY268" s="191" t="s">
        <v>127</v>
      </c>
    </row>
    <row r="269" spans="2:65" s="189" customFormat="1" x14ac:dyDescent="0.2">
      <c r="B269" s="188"/>
      <c r="D269" s="190" t="s">
        <v>132</v>
      </c>
      <c r="E269" s="191" t="s">
        <v>1</v>
      </c>
      <c r="F269" s="192" t="s">
        <v>273</v>
      </c>
      <c r="H269" s="193">
        <v>0.11</v>
      </c>
      <c r="I269" s="82"/>
      <c r="L269" s="158"/>
      <c r="M269" s="194"/>
      <c r="T269" s="195"/>
      <c r="AT269" s="191" t="s">
        <v>132</v>
      </c>
      <c r="AU269" s="191" t="s">
        <v>82</v>
      </c>
      <c r="AV269" s="189" t="s">
        <v>82</v>
      </c>
      <c r="AW269" s="189" t="s">
        <v>30</v>
      </c>
      <c r="AX269" s="189" t="s">
        <v>72</v>
      </c>
      <c r="AY269" s="191" t="s">
        <v>127</v>
      </c>
    </row>
    <row r="270" spans="2:65" s="198" customFormat="1" x14ac:dyDescent="0.2">
      <c r="B270" s="197"/>
      <c r="D270" s="190" t="s">
        <v>132</v>
      </c>
      <c r="E270" s="199" t="s">
        <v>1</v>
      </c>
      <c r="F270" s="200" t="s">
        <v>133</v>
      </c>
      <c r="H270" s="201">
        <f>SUM(H268:H269)</f>
        <v>3.7099999999999995</v>
      </c>
      <c r="I270" s="83"/>
      <c r="L270" s="202"/>
      <c r="M270" s="203"/>
      <c r="T270" s="204"/>
      <c r="AT270" s="199" t="s">
        <v>132</v>
      </c>
      <c r="AU270" s="199" t="s">
        <v>82</v>
      </c>
      <c r="AV270" s="198" t="s">
        <v>131</v>
      </c>
      <c r="AW270" s="198" t="s">
        <v>30</v>
      </c>
      <c r="AX270" s="198" t="s">
        <v>80</v>
      </c>
      <c r="AY270" s="199" t="s">
        <v>127</v>
      </c>
    </row>
    <row r="271" spans="2:65" s="99" customFormat="1" ht="21.75" customHeight="1" x14ac:dyDescent="0.2">
      <c r="B271" s="98"/>
      <c r="C271" s="176">
        <v>39</v>
      </c>
      <c r="D271" s="176" t="s">
        <v>129</v>
      </c>
      <c r="E271" s="224" t="s">
        <v>984</v>
      </c>
      <c r="F271" s="225" t="s">
        <v>985</v>
      </c>
      <c r="G271" s="226" t="s">
        <v>196</v>
      </c>
      <c r="H271" s="227">
        <f>SUM(H410,H427)</f>
        <v>39</v>
      </c>
      <c r="I271" s="80"/>
      <c r="J271" s="181">
        <f>ROUND(I271*H271,2)</f>
        <v>0</v>
      </c>
      <c r="K271" s="182"/>
      <c r="L271" s="98"/>
      <c r="M271" s="183" t="s">
        <v>1</v>
      </c>
      <c r="N271" s="184" t="s">
        <v>38</v>
      </c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AR271" s="131" t="s">
        <v>131</v>
      </c>
      <c r="AT271" s="131" t="s">
        <v>129</v>
      </c>
      <c r="AU271" s="131" t="s">
        <v>82</v>
      </c>
      <c r="AY271" s="90" t="s">
        <v>127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90" t="s">
        <v>80</v>
      </c>
      <c r="BK271" s="187">
        <f>ROUND(I271*H271,2)</f>
        <v>0</v>
      </c>
      <c r="BL271" s="90" t="s">
        <v>131</v>
      </c>
      <c r="BM271" s="131" t="s">
        <v>986</v>
      </c>
    </row>
    <row r="272" spans="2:65" s="198" customFormat="1" x14ac:dyDescent="0.2">
      <c r="B272" s="197"/>
      <c r="D272" s="190"/>
      <c r="E272" s="199"/>
      <c r="F272" s="209" t="s">
        <v>1031</v>
      </c>
      <c r="H272" s="201"/>
      <c r="I272" s="83"/>
      <c r="L272" s="197"/>
      <c r="M272" s="203"/>
      <c r="T272" s="204"/>
      <c r="AT272" s="199"/>
      <c r="AU272" s="199"/>
      <c r="AY272" s="199"/>
    </row>
    <row r="273" spans="2:65" s="99" customFormat="1" ht="21.75" customHeight="1" x14ac:dyDescent="0.2">
      <c r="B273" s="98"/>
      <c r="C273" s="176">
        <v>40</v>
      </c>
      <c r="D273" s="176" t="s">
        <v>129</v>
      </c>
      <c r="E273" s="228" t="s">
        <v>987</v>
      </c>
      <c r="F273" s="229" t="s">
        <v>988</v>
      </c>
      <c r="G273" s="226" t="s">
        <v>196</v>
      </c>
      <c r="H273" s="227">
        <f>H271</f>
        <v>39</v>
      </c>
      <c r="I273" s="80"/>
      <c r="J273" s="181">
        <f>ROUND(I273*H273,2)</f>
        <v>0</v>
      </c>
      <c r="K273" s="182"/>
      <c r="L273" s="98"/>
      <c r="M273" s="183" t="s">
        <v>1</v>
      </c>
      <c r="N273" s="184" t="s">
        <v>38</v>
      </c>
      <c r="P273" s="185">
        <f>O273*H273</f>
        <v>0</v>
      </c>
      <c r="Q273" s="185">
        <v>0</v>
      </c>
      <c r="R273" s="185">
        <f>Q273*H273</f>
        <v>0</v>
      </c>
      <c r="S273" s="185">
        <v>0</v>
      </c>
      <c r="T273" s="186">
        <f>S273*H273</f>
        <v>0</v>
      </c>
      <c r="AR273" s="131" t="s">
        <v>131</v>
      </c>
      <c r="AT273" s="131" t="s">
        <v>129</v>
      </c>
      <c r="AU273" s="131" t="s">
        <v>82</v>
      </c>
      <c r="AY273" s="90" t="s">
        <v>127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90" t="s">
        <v>80</v>
      </c>
      <c r="BK273" s="187">
        <f>ROUND(I273*H273,2)</f>
        <v>0</v>
      </c>
      <c r="BL273" s="90" t="s">
        <v>131</v>
      </c>
      <c r="BM273" s="131" t="s">
        <v>986</v>
      </c>
    </row>
    <row r="274" spans="2:65" s="207" customFormat="1" x14ac:dyDescent="0.2">
      <c r="B274" s="206"/>
      <c r="D274" s="190" t="s">
        <v>132</v>
      </c>
      <c r="E274" s="208" t="s">
        <v>1</v>
      </c>
      <c r="F274" s="209" t="s">
        <v>1031</v>
      </c>
      <c r="H274" s="208" t="s">
        <v>1</v>
      </c>
      <c r="I274" s="84"/>
      <c r="L274" s="206"/>
      <c r="M274" s="211"/>
      <c r="T274" s="212"/>
      <c r="AT274" s="208" t="s">
        <v>132</v>
      </c>
      <c r="AU274" s="208" t="s">
        <v>82</v>
      </c>
      <c r="AV274" s="207" t="s">
        <v>80</v>
      </c>
      <c r="AW274" s="207" t="s">
        <v>30</v>
      </c>
      <c r="AX274" s="207" t="s">
        <v>72</v>
      </c>
      <c r="AY274" s="208" t="s">
        <v>127</v>
      </c>
    </row>
    <row r="275" spans="2:65" s="164" customFormat="1" ht="22.9" customHeight="1" x14ac:dyDescent="0.2">
      <c r="B275" s="163"/>
      <c r="D275" s="165" t="s">
        <v>71</v>
      </c>
      <c r="E275" s="174" t="s">
        <v>141</v>
      </c>
      <c r="F275" s="174" t="s">
        <v>274</v>
      </c>
      <c r="I275" s="79"/>
      <c r="J275" s="175">
        <f>SUM(J276:J309)</f>
        <v>0</v>
      </c>
      <c r="L275" s="168"/>
      <c r="M275" s="169"/>
      <c r="P275" s="170">
        <f>SUM(P276:P309)</f>
        <v>0</v>
      </c>
      <c r="R275" s="170">
        <f>SUM(R276:R309)</f>
        <v>0</v>
      </c>
      <c r="T275" s="171">
        <f>SUM(T276:T309)</f>
        <v>0</v>
      </c>
      <c r="AR275" s="165" t="s">
        <v>80</v>
      </c>
      <c r="AT275" s="172" t="s">
        <v>71</v>
      </c>
      <c r="AU275" s="172" t="s">
        <v>80</v>
      </c>
      <c r="AY275" s="165" t="s">
        <v>127</v>
      </c>
      <c r="BK275" s="173">
        <f>SUM(BK276:BK309)</f>
        <v>0</v>
      </c>
    </row>
    <row r="276" spans="2:65" s="99" customFormat="1" ht="24.2" customHeight="1" x14ac:dyDescent="0.2">
      <c r="B276" s="98"/>
      <c r="C276" s="176">
        <v>41</v>
      </c>
      <c r="D276" s="176" t="s">
        <v>129</v>
      </c>
      <c r="E276" s="177" t="s">
        <v>275</v>
      </c>
      <c r="F276" s="178" t="s">
        <v>276</v>
      </c>
      <c r="G276" s="179" t="s">
        <v>130</v>
      </c>
      <c r="H276" s="180">
        <f>H277</f>
        <v>605.4</v>
      </c>
      <c r="I276" s="80"/>
      <c r="J276" s="181">
        <f>ROUND(I276*H276,2)</f>
        <v>0</v>
      </c>
      <c r="K276" s="182"/>
      <c r="L276" s="213"/>
      <c r="M276" s="183" t="s">
        <v>1</v>
      </c>
      <c r="N276" s="184" t="s">
        <v>38</v>
      </c>
      <c r="P276" s="185">
        <f>O276*H276</f>
        <v>0</v>
      </c>
      <c r="Q276" s="185">
        <v>0</v>
      </c>
      <c r="R276" s="185">
        <f>Q276*H276</f>
        <v>0</v>
      </c>
      <c r="S276" s="185">
        <v>0</v>
      </c>
      <c r="T276" s="186">
        <f>S276*H276</f>
        <v>0</v>
      </c>
      <c r="AR276" s="131" t="s">
        <v>131</v>
      </c>
      <c r="AT276" s="131" t="s">
        <v>129</v>
      </c>
      <c r="AU276" s="131" t="s">
        <v>82</v>
      </c>
      <c r="AY276" s="90" t="s">
        <v>127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90" t="s">
        <v>80</v>
      </c>
      <c r="BK276" s="187">
        <f>ROUND(I276*H276,2)</f>
        <v>0</v>
      </c>
      <c r="BL276" s="90" t="s">
        <v>131</v>
      </c>
      <c r="BM276" s="131" t="s">
        <v>277</v>
      </c>
    </row>
    <row r="277" spans="2:65" s="189" customFormat="1" x14ac:dyDescent="0.2">
      <c r="B277" s="188"/>
      <c r="D277" s="190" t="s">
        <v>132</v>
      </c>
      <c r="E277" s="191" t="s">
        <v>1</v>
      </c>
      <c r="F277" s="192" t="s">
        <v>833</v>
      </c>
      <c r="H277" s="193">
        <f>(513+2.4+2.5+2.5+3+82)*1</f>
        <v>605.4</v>
      </c>
      <c r="I277" s="82"/>
      <c r="L277" s="158"/>
      <c r="M277" s="194"/>
      <c r="T277" s="195"/>
      <c r="AT277" s="191" t="s">
        <v>132</v>
      </c>
      <c r="AU277" s="191" t="s">
        <v>82</v>
      </c>
      <c r="AV277" s="189" t="s">
        <v>82</v>
      </c>
      <c r="AW277" s="189" t="s">
        <v>30</v>
      </c>
      <c r="AX277" s="189" t="s">
        <v>72</v>
      </c>
      <c r="AY277" s="191" t="s">
        <v>127</v>
      </c>
    </row>
    <row r="278" spans="2:65" s="99" customFormat="1" ht="24.2" customHeight="1" x14ac:dyDescent="0.2">
      <c r="B278" s="98"/>
      <c r="C278" s="176">
        <v>42</v>
      </c>
      <c r="D278" s="176" t="s">
        <v>129</v>
      </c>
      <c r="E278" s="177" t="s">
        <v>278</v>
      </c>
      <c r="F278" s="178" t="s">
        <v>279</v>
      </c>
      <c r="G278" s="179" t="s">
        <v>130</v>
      </c>
      <c r="H278" s="180">
        <f>H279</f>
        <v>121.6</v>
      </c>
      <c r="I278" s="80"/>
      <c r="J278" s="181">
        <f>ROUND(I278*H278,2)</f>
        <v>0</v>
      </c>
      <c r="K278" s="182"/>
      <c r="L278" s="213"/>
      <c r="M278" s="183" t="s">
        <v>1</v>
      </c>
      <c r="N278" s="184" t="s">
        <v>38</v>
      </c>
      <c r="P278" s="185">
        <f>O278*H278</f>
        <v>0</v>
      </c>
      <c r="Q278" s="185">
        <v>0</v>
      </c>
      <c r="R278" s="185">
        <f>Q278*H278</f>
        <v>0</v>
      </c>
      <c r="S278" s="185">
        <v>0</v>
      </c>
      <c r="T278" s="186">
        <f>S278*H278</f>
        <v>0</v>
      </c>
      <c r="AR278" s="131" t="s">
        <v>131</v>
      </c>
      <c r="AT278" s="131" t="s">
        <v>129</v>
      </c>
      <c r="AU278" s="131" t="s">
        <v>82</v>
      </c>
      <c r="AY278" s="90" t="s">
        <v>127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90" t="s">
        <v>80</v>
      </c>
      <c r="BK278" s="187">
        <f>ROUND(I278*H278,2)</f>
        <v>0</v>
      </c>
      <c r="BL278" s="90" t="s">
        <v>131</v>
      </c>
      <c r="BM278" s="131" t="s">
        <v>280</v>
      </c>
    </row>
    <row r="279" spans="2:65" s="189" customFormat="1" x14ac:dyDescent="0.2">
      <c r="B279" s="188"/>
      <c r="D279" s="190" t="s">
        <v>132</v>
      </c>
      <c r="E279" s="191" t="s">
        <v>1</v>
      </c>
      <c r="F279" s="192" t="s">
        <v>831</v>
      </c>
      <c r="H279" s="193">
        <f>(55.1+51+10+2.1+3.4)*1</f>
        <v>121.6</v>
      </c>
      <c r="I279" s="82"/>
      <c r="L279" s="158"/>
      <c r="M279" s="194"/>
      <c r="T279" s="195"/>
      <c r="AT279" s="191" t="s">
        <v>132</v>
      </c>
      <c r="AU279" s="191" t="s">
        <v>82</v>
      </c>
      <c r="AV279" s="189" t="s">
        <v>82</v>
      </c>
      <c r="AW279" s="189" t="s">
        <v>30</v>
      </c>
      <c r="AX279" s="189" t="s">
        <v>72</v>
      </c>
      <c r="AY279" s="191" t="s">
        <v>127</v>
      </c>
    </row>
    <row r="280" spans="2:65" s="99" customFormat="1" ht="24.2" customHeight="1" x14ac:dyDescent="0.2">
      <c r="B280" s="98"/>
      <c r="C280" s="176">
        <v>43</v>
      </c>
      <c r="D280" s="176" t="s">
        <v>129</v>
      </c>
      <c r="E280" s="177" t="s">
        <v>281</v>
      </c>
      <c r="F280" s="178" t="s">
        <v>282</v>
      </c>
      <c r="G280" s="179" t="s">
        <v>130</v>
      </c>
      <c r="H280" s="180">
        <f>H281</f>
        <v>1003.8</v>
      </c>
      <c r="I280" s="80"/>
      <c r="J280" s="181">
        <f>ROUND(I280*H280,2)</f>
        <v>0</v>
      </c>
      <c r="K280" s="182"/>
      <c r="L280" s="213"/>
      <c r="M280" s="183" t="s">
        <v>1</v>
      </c>
      <c r="N280" s="184" t="s">
        <v>38</v>
      </c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AR280" s="131" t="s">
        <v>131</v>
      </c>
      <c r="AT280" s="131" t="s">
        <v>129</v>
      </c>
      <c r="AU280" s="131" t="s">
        <v>82</v>
      </c>
      <c r="AY280" s="90" t="s">
        <v>127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90" t="s">
        <v>80</v>
      </c>
      <c r="BK280" s="187">
        <f>ROUND(I280*H280,2)</f>
        <v>0</v>
      </c>
      <c r="BL280" s="90" t="s">
        <v>131</v>
      </c>
      <c r="BM280" s="131" t="s">
        <v>283</v>
      </c>
    </row>
    <row r="281" spans="2:65" s="189" customFormat="1" x14ac:dyDescent="0.2">
      <c r="B281" s="188"/>
      <c r="D281" s="190" t="s">
        <v>132</v>
      </c>
      <c r="E281" s="191" t="s">
        <v>1</v>
      </c>
      <c r="F281" s="192" t="s">
        <v>834</v>
      </c>
      <c r="H281" s="193">
        <f>(244.4+10+94.9+38.5+616)*1</f>
        <v>1003.8</v>
      </c>
      <c r="I281" s="82"/>
      <c r="L281" s="158"/>
      <c r="M281" s="194"/>
      <c r="T281" s="195"/>
      <c r="AT281" s="191" t="s">
        <v>132</v>
      </c>
      <c r="AU281" s="191" t="s">
        <v>82</v>
      </c>
      <c r="AV281" s="189" t="s">
        <v>82</v>
      </c>
      <c r="AW281" s="189" t="s">
        <v>30</v>
      </c>
      <c r="AX281" s="189" t="s">
        <v>72</v>
      </c>
      <c r="AY281" s="191" t="s">
        <v>127</v>
      </c>
    </row>
    <row r="282" spans="2:65" s="99" customFormat="1" ht="24.2" customHeight="1" x14ac:dyDescent="0.2">
      <c r="B282" s="98"/>
      <c r="C282" s="176">
        <v>44</v>
      </c>
      <c r="D282" s="176" t="s">
        <v>129</v>
      </c>
      <c r="E282" s="177" t="s">
        <v>284</v>
      </c>
      <c r="F282" s="178" t="s">
        <v>285</v>
      </c>
      <c r="G282" s="179" t="s">
        <v>130</v>
      </c>
      <c r="H282" s="180">
        <f>H283</f>
        <v>605.4</v>
      </c>
      <c r="I282" s="80"/>
      <c r="J282" s="181">
        <f>ROUND(I282*H282,2)</f>
        <v>0</v>
      </c>
      <c r="K282" s="182"/>
      <c r="L282" s="213"/>
      <c r="M282" s="183" t="s">
        <v>1</v>
      </c>
      <c r="N282" s="184" t="s">
        <v>38</v>
      </c>
      <c r="P282" s="185">
        <f>O282*H282</f>
        <v>0</v>
      </c>
      <c r="Q282" s="185">
        <v>0</v>
      </c>
      <c r="R282" s="185">
        <f>Q282*H282</f>
        <v>0</v>
      </c>
      <c r="S282" s="185">
        <v>0</v>
      </c>
      <c r="T282" s="186">
        <f>S282*H282</f>
        <v>0</v>
      </c>
      <c r="AR282" s="131" t="s">
        <v>131</v>
      </c>
      <c r="AT282" s="131" t="s">
        <v>129</v>
      </c>
      <c r="AU282" s="131" t="s">
        <v>82</v>
      </c>
      <c r="AY282" s="90" t="s">
        <v>127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90" t="s">
        <v>80</v>
      </c>
      <c r="BK282" s="187">
        <f>ROUND(I282*H282,2)</f>
        <v>0</v>
      </c>
      <c r="BL282" s="90" t="s">
        <v>131</v>
      </c>
      <c r="BM282" s="131" t="s">
        <v>286</v>
      </c>
    </row>
    <row r="283" spans="2:65" s="189" customFormat="1" x14ac:dyDescent="0.2">
      <c r="B283" s="188"/>
      <c r="D283" s="190" t="s">
        <v>132</v>
      </c>
      <c r="E283" s="191" t="s">
        <v>1</v>
      </c>
      <c r="F283" s="192" t="s">
        <v>833</v>
      </c>
      <c r="H283" s="193">
        <f>(513+2.4+2.5+2.5+3+82)*1</f>
        <v>605.4</v>
      </c>
      <c r="I283" s="82"/>
      <c r="L283" s="158"/>
      <c r="M283" s="194"/>
      <c r="T283" s="195"/>
      <c r="AT283" s="191" t="s">
        <v>132</v>
      </c>
      <c r="AU283" s="191" t="s">
        <v>82</v>
      </c>
      <c r="AV283" s="189" t="s">
        <v>82</v>
      </c>
      <c r="AW283" s="189" t="s">
        <v>30</v>
      </c>
      <c r="AX283" s="189" t="s">
        <v>72</v>
      </c>
      <c r="AY283" s="191" t="s">
        <v>127</v>
      </c>
    </row>
    <row r="284" spans="2:65" s="99" customFormat="1" ht="16.5" customHeight="1" x14ac:dyDescent="0.2">
      <c r="B284" s="98"/>
      <c r="C284" s="176">
        <v>45</v>
      </c>
      <c r="D284" s="176" t="s">
        <v>129</v>
      </c>
      <c r="E284" s="177"/>
      <c r="F284" s="178" t="s">
        <v>969</v>
      </c>
      <c r="G284" s="179" t="s">
        <v>130</v>
      </c>
      <c r="H284" s="180">
        <f>H286</f>
        <v>1003.8</v>
      </c>
      <c r="I284" s="80"/>
      <c r="J284" s="181">
        <f>ROUND(I284*H284,2)</f>
        <v>0</v>
      </c>
      <c r="K284" s="182"/>
      <c r="L284" s="98"/>
      <c r="M284" s="183" t="s">
        <v>1</v>
      </c>
      <c r="N284" s="184" t="s">
        <v>38</v>
      </c>
      <c r="P284" s="185">
        <f>O284*H284</f>
        <v>0</v>
      </c>
      <c r="Q284" s="185">
        <v>0</v>
      </c>
      <c r="R284" s="185">
        <f>Q284*H284</f>
        <v>0</v>
      </c>
      <c r="S284" s="185">
        <v>0</v>
      </c>
      <c r="T284" s="186">
        <f>S284*H284</f>
        <v>0</v>
      </c>
      <c r="AR284" s="131" t="s">
        <v>131</v>
      </c>
      <c r="AT284" s="131" t="s">
        <v>129</v>
      </c>
      <c r="AU284" s="131" t="s">
        <v>82</v>
      </c>
      <c r="AY284" s="90" t="s">
        <v>127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90" t="s">
        <v>80</v>
      </c>
      <c r="BK284" s="187">
        <f>ROUND(I284*H284,2)</f>
        <v>0</v>
      </c>
      <c r="BL284" s="90" t="s">
        <v>131</v>
      </c>
      <c r="BM284" s="131" t="s">
        <v>954</v>
      </c>
    </row>
    <row r="285" spans="2:65" s="207" customFormat="1" x14ac:dyDescent="0.2">
      <c r="B285" s="206"/>
      <c r="D285" s="190" t="s">
        <v>132</v>
      </c>
      <c r="E285" s="208" t="s">
        <v>1</v>
      </c>
      <c r="F285" s="209" t="s">
        <v>955</v>
      </c>
      <c r="H285" s="208" t="s">
        <v>1</v>
      </c>
      <c r="I285" s="84"/>
      <c r="L285" s="206"/>
      <c r="M285" s="211"/>
      <c r="T285" s="212"/>
      <c r="AT285" s="208" t="s">
        <v>132</v>
      </c>
      <c r="AU285" s="208" t="s">
        <v>82</v>
      </c>
      <c r="AV285" s="207" t="s">
        <v>80</v>
      </c>
      <c r="AW285" s="207" t="s">
        <v>30</v>
      </c>
      <c r="AX285" s="207" t="s">
        <v>72</v>
      </c>
      <c r="AY285" s="208" t="s">
        <v>127</v>
      </c>
    </row>
    <row r="286" spans="2:65" s="189" customFormat="1" x14ac:dyDescent="0.2">
      <c r="B286" s="188"/>
      <c r="D286" s="190" t="s">
        <v>132</v>
      </c>
      <c r="E286" s="191" t="s">
        <v>1</v>
      </c>
      <c r="F286" s="192" t="s">
        <v>970</v>
      </c>
      <c r="H286" s="193">
        <f>(244.4+10+94.9+38.5+616)*1</f>
        <v>1003.8</v>
      </c>
      <c r="I286" s="82"/>
      <c r="L286" s="188"/>
      <c r="M286" s="194"/>
      <c r="T286" s="195"/>
      <c r="AT286" s="191" t="s">
        <v>132</v>
      </c>
      <c r="AU286" s="191" t="s">
        <v>82</v>
      </c>
      <c r="AV286" s="189" t="s">
        <v>82</v>
      </c>
      <c r="AW286" s="189" t="s">
        <v>30</v>
      </c>
      <c r="AX286" s="189" t="s">
        <v>72</v>
      </c>
      <c r="AY286" s="191" t="s">
        <v>127</v>
      </c>
    </row>
    <row r="287" spans="2:65" s="99" customFormat="1" ht="16.5" customHeight="1" x14ac:dyDescent="0.2">
      <c r="B287" s="98"/>
      <c r="C287" s="176">
        <v>46</v>
      </c>
      <c r="D287" s="176" t="s">
        <v>129</v>
      </c>
      <c r="E287" s="177"/>
      <c r="F287" s="178" t="s">
        <v>971</v>
      </c>
      <c r="G287" s="179" t="s">
        <v>130</v>
      </c>
      <c r="H287" s="180">
        <f>H289</f>
        <v>605.4</v>
      </c>
      <c r="I287" s="80"/>
      <c r="J287" s="181">
        <f>ROUND(I287*H287,2)</f>
        <v>0</v>
      </c>
      <c r="K287" s="182"/>
      <c r="L287" s="98"/>
      <c r="M287" s="183" t="s">
        <v>1</v>
      </c>
      <c r="N287" s="184" t="s">
        <v>38</v>
      </c>
      <c r="P287" s="185">
        <f>O287*H287</f>
        <v>0</v>
      </c>
      <c r="Q287" s="185">
        <v>0</v>
      </c>
      <c r="R287" s="185">
        <f>Q287*H287</f>
        <v>0</v>
      </c>
      <c r="S287" s="185">
        <v>0</v>
      </c>
      <c r="T287" s="186">
        <f>S287*H287</f>
        <v>0</v>
      </c>
      <c r="AR287" s="131" t="s">
        <v>131</v>
      </c>
      <c r="AT287" s="131" t="s">
        <v>129</v>
      </c>
      <c r="AU287" s="131" t="s">
        <v>82</v>
      </c>
      <c r="AY287" s="90" t="s">
        <v>127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90" t="s">
        <v>80</v>
      </c>
      <c r="BK287" s="187">
        <f>ROUND(I287*H287,2)</f>
        <v>0</v>
      </c>
      <c r="BL287" s="90" t="s">
        <v>131</v>
      </c>
      <c r="BM287" s="131" t="s">
        <v>954</v>
      </c>
    </row>
    <row r="288" spans="2:65" s="207" customFormat="1" x14ac:dyDescent="0.2">
      <c r="B288" s="206"/>
      <c r="D288" s="190" t="s">
        <v>132</v>
      </c>
      <c r="E288" s="208" t="s">
        <v>1</v>
      </c>
      <c r="F288" s="209" t="s">
        <v>955</v>
      </c>
      <c r="H288" s="208" t="s">
        <v>1</v>
      </c>
      <c r="I288" s="84"/>
      <c r="L288" s="206"/>
      <c r="M288" s="211"/>
      <c r="T288" s="212"/>
      <c r="AT288" s="208" t="s">
        <v>132</v>
      </c>
      <c r="AU288" s="208" t="s">
        <v>82</v>
      </c>
      <c r="AV288" s="207" t="s">
        <v>80</v>
      </c>
      <c r="AW288" s="207" t="s">
        <v>30</v>
      </c>
      <c r="AX288" s="207" t="s">
        <v>72</v>
      </c>
      <c r="AY288" s="208" t="s">
        <v>127</v>
      </c>
    </row>
    <row r="289" spans="2:65" s="189" customFormat="1" x14ac:dyDescent="0.2">
      <c r="B289" s="188"/>
      <c r="D289" s="190" t="s">
        <v>132</v>
      </c>
      <c r="E289" s="191" t="s">
        <v>1</v>
      </c>
      <c r="F289" s="192" t="s">
        <v>833</v>
      </c>
      <c r="H289" s="193">
        <f>(513+2.4+2.5+2.5+3+82)*1</f>
        <v>605.4</v>
      </c>
      <c r="I289" s="82"/>
      <c r="L289" s="188"/>
      <c r="M289" s="194"/>
      <c r="T289" s="195"/>
      <c r="AT289" s="191" t="s">
        <v>132</v>
      </c>
      <c r="AU289" s="191" t="s">
        <v>82</v>
      </c>
      <c r="AV289" s="189" t="s">
        <v>82</v>
      </c>
      <c r="AW289" s="189" t="s">
        <v>30</v>
      </c>
      <c r="AX289" s="189" t="s">
        <v>72</v>
      </c>
      <c r="AY289" s="191" t="s">
        <v>127</v>
      </c>
    </row>
    <row r="290" spans="2:65" s="99" customFormat="1" ht="24.2" customHeight="1" x14ac:dyDescent="0.2">
      <c r="B290" s="98"/>
      <c r="C290" s="176">
        <v>47</v>
      </c>
      <c r="D290" s="176" t="s">
        <v>129</v>
      </c>
      <c r="E290" s="177" t="s">
        <v>287</v>
      </c>
      <c r="F290" s="178" t="s">
        <v>288</v>
      </c>
      <c r="G290" s="179" t="s">
        <v>130</v>
      </c>
      <c r="H290" s="180">
        <f>H294</f>
        <v>1609.1999999999998</v>
      </c>
      <c r="I290" s="80"/>
      <c r="J290" s="181">
        <f>ROUND(I290*H290,2)</f>
        <v>0</v>
      </c>
      <c r="K290" s="182"/>
      <c r="L290" s="213"/>
      <c r="M290" s="183" t="s">
        <v>1</v>
      </c>
      <c r="N290" s="184" t="s">
        <v>38</v>
      </c>
      <c r="P290" s="185">
        <f>O290*H290</f>
        <v>0</v>
      </c>
      <c r="Q290" s="185">
        <v>0</v>
      </c>
      <c r="R290" s="185">
        <f>Q290*H290</f>
        <v>0</v>
      </c>
      <c r="S290" s="185">
        <v>0</v>
      </c>
      <c r="T290" s="186">
        <f>S290*H290</f>
        <v>0</v>
      </c>
      <c r="AR290" s="131" t="s">
        <v>131</v>
      </c>
      <c r="AT290" s="131" t="s">
        <v>129</v>
      </c>
      <c r="AU290" s="131" t="s">
        <v>82</v>
      </c>
      <c r="AY290" s="90" t="s">
        <v>127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90" t="s">
        <v>80</v>
      </c>
      <c r="BK290" s="187">
        <f>ROUND(I290*H290,2)</f>
        <v>0</v>
      </c>
      <c r="BL290" s="90" t="s">
        <v>131</v>
      </c>
      <c r="BM290" s="131" t="s">
        <v>289</v>
      </c>
    </row>
    <row r="291" spans="2:65" s="207" customFormat="1" x14ac:dyDescent="0.2">
      <c r="B291" s="206"/>
      <c r="D291" s="190" t="s">
        <v>132</v>
      </c>
      <c r="E291" s="208" t="s">
        <v>1</v>
      </c>
      <c r="F291" s="209" t="s">
        <v>143</v>
      </c>
      <c r="H291" s="208" t="s">
        <v>1</v>
      </c>
      <c r="I291" s="84"/>
      <c r="L291" s="210"/>
      <c r="M291" s="211"/>
      <c r="T291" s="212"/>
      <c r="AT291" s="208" t="s">
        <v>132</v>
      </c>
      <c r="AU291" s="208" t="s">
        <v>82</v>
      </c>
      <c r="AV291" s="207" t="s">
        <v>80</v>
      </c>
      <c r="AW291" s="207" t="s">
        <v>30</v>
      </c>
      <c r="AX291" s="207" t="s">
        <v>72</v>
      </c>
      <c r="AY291" s="208" t="s">
        <v>127</v>
      </c>
    </row>
    <row r="292" spans="2:65" s="189" customFormat="1" x14ac:dyDescent="0.2">
      <c r="B292" s="188"/>
      <c r="D292" s="190" t="s">
        <v>132</v>
      </c>
      <c r="E292" s="191" t="s">
        <v>1</v>
      </c>
      <c r="F292" s="192" t="s">
        <v>834</v>
      </c>
      <c r="H292" s="193">
        <f>(244.4+10+94.9+38.5+616)*1</f>
        <v>1003.8</v>
      </c>
      <c r="I292" s="82"/>
      <c r="L292" s="158"/>
      <c r="M292" s="194"/>
      <c r="T292" s="195"/>
      <c r="AT292" s="191" t="s">
        <v>132</v>
      </c>
      <c r="AU292" s="191" t="s">
        <v>82</v>
      </c>
      <c r="AV292" s="189" t="s">
        <v>82</v>
      </c>
      <c r="AW292" s="189" t="s">
        <v>30</v>
      </c>
      <c r="AX292" s="189" t="s">
        <v>72</v>
      </c>
      <c r="AY292" s="191" t="s">
        <v>127</v>
      </c>
    </row>
    <row r="293" spans="2:65" s="189" customFormat="1" x14ac:dyDescent="0.2">
      <c r="B293" s="188"/>
      <c r="D293" s="190" t="s">
        <v>132</v>
      </c>
      <c r="E293" s="191" t="s">
        <v>1</v>
      </c>
      <c r="F293" s="192" t="s">
        <v>833</v>
      </c>
      <c r="H293" s="193">
        <f>(513+2.4+2.5+2.5+3+82)*1</f>
        <v>605.4</v>
      </c>
      <c r="I293" s="82"/>
      <c r="L293" s="158"/>
      <c r="M293" s="194"/>
      <c r="T293" s="195"/>
      <c r="AT293" s="191" t="s">
        <v>132</v>
      </c>
      <c r="AU293" s="191" t="s">
        <v>82</v>
      </c>
      <c r="AV293" s="189" t="s">
        <v>82</v>
      </c>
      <c r="AW293" s="189" t="s">
        <v>30</v>
      </c>
      <c r="AX293" s="189" t="s">
        <v>72</v>
      </c>
      <c r="AY293" s="191" t="s">
        <v>127</v>
      </c>
    </row>
    <row r="294" spans="2:65" s="198" customFormat="1" x14ac:dyDescent="0.2">
      <c r="B294" s="197"/>
      <c r="D294" s="190" t="s">
        <v>132</v>
      </c>
      <c r="E294" s="199" t="s">
        <v>1</v>
      </c>
      <c r="F294" s="200" t="s">
        <v>133</v>
      </c>
      <c r="H294" s="201">
        <f>SUM(H292:H293)</f>
        <v>1609.1999999999998</v>
      </c>
      <c r="I294" s="83"/>
      <c r="L294" s="202"/>
      <c r="M294" s="203"/>
      <c r="T294" s="204"/>
      <c r="AT294" s="199" t="s">
        <v>132</v>
      </c>
      <c r="AU294" s="199" t="s">
        <v>82</v>
      </c>
      <c r="AV294" s="198" t="s">
        <v>131</v>
      </c>
      <c r="AW294" s="198" t="s">
        <v>30</v>
      </c>
      <c r="AX294" s="198" t="s">
        <v>80</v>
      </c>
      <c r="AY294" s="199" t="s">
        <v>127</v>
      </c>
    </row>
    <row r="295" spans="2:65" s="99" customFormat="1" ht="24.2" customHeight="1" x14ac:dyDescent="0.2">
      <c r="B295" s="98"/>
      <c r="C295" s="176">
        <v>48</v>
      </c>
      <c r="D295" s="176" t="s">
        <v>129</v>
      </c>
      <c r="E295" s="177" t="s">
        <v>291</v>
      </c>
      <c r="F295" s="178" t="s">
        <v>292</v>
      </c>
      <c r="G295" s="179" t="s">
        <v>130</v>
      </c>
      <c r="H295" s="180">
        <f>H299</f>
        <v>3062.16</v>
      </c>
      <c r="I295" s="80"/>
      <c r="J295" s="181">
        <f>ROUND(I295*H295,2)</f>
        <v>0</v>
      </c>
      <c r="K295" s="182"/>
      <c r="L295" s="213"/>
      <c r="M295" s="183" t="s">
        <v>1</v>
      </c>
      <c r="N295" s="184" t="s">
        <v>38</v>
      </c>
      <c r="P295" s="185">
        <f>O295*H295</f>
        <v>0</v>
      </c>
      <c r="Q295" s="185">
        <v>0</v>
      </c>
      <c r="R295" s="185">
        <f>Q295*H295</f>
        <v>0</v>
      </c>
      <c r="S295" s="185">
        <v>0</v>
      </c>
      <c r="T295" s="186">
        <f>S295*H295</f>
        <v>0</v>
      </c>
      <c r="AR295" s="131" t="s">
        <v>131</v>
      </c>
      <c r="AT295" s="131" t="s">
        <v>129</v>
      </c>
      <c r="AU295" s="131" t="s">
        <v>82</v>
      </c>
      <c r="AY295" s="90" t="s">
        <v>127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90" t="s">
        <v>80</v>
      </c>
      <c r="BK295" s="187">
        <f>ROUND(I295*H295,2)</f>
        <v>0</v>
      </c>
      <c r="BL295" s="90" t="s">
        <v>131</v>
      </c>
      <c r="BM295" s="131" t="s">
        <v>293</v>
      </c>
    </row>
    <row r="296" spans="2:65" s="207" customFormat="1" x14ac:dyDescent="0.2">
      <c r="B296" s="206"/>
      <c r="D296" s="190" t="s">
        <v>132</v>
      </c>
      <c r="E296" s="208" t="s">
        <v>1</v>
      </c>
      <c r="F296" s="209" t="s">
        <v>143</v>
      </c>
      <c r="H296" s="208" t="s">
        <v>1</v>
      </c>
      <c r="I296" s="84"/>
      <c r="L296" s="210"/>
      <c r="M296" s="211"/>
      <c r="T296" s="212"/>
      <c r="AT296" s="208" t="s">
        <v>132</v>
      </c>
      <c r="AU296" s="208" t="s">
        <v>82</v>
      </c>
      <c r="AV296" s="207" t="s">
        <v>80</v>
      </c>
      <c r="AW296" s="207" t="s">
        <v>30</v>
      </c>
      <c r="AX296" s="207" t="s">
        <v>72</v>
      </c>
      <c r="AY296" s="208" t="s">
        <v>127</v>
      </c>
    </row>
    <row r="297" spans="2:65" s="189" customFormat="1" x14ac:dyDescent="0.2">
      <c r="B297" s="188"/>
      <c r="D297" s="190" t="s">
        <v>132</v>
      </c>
      <c r="E297" s="191" t="s">
        <v>1</v>
      </c>
      <c r="F297" s="192" t="s">
        <v>834</v>
      </c>
      <c r="H297" s="193">
        <f>(244.4+10+94.9+38.5+616)*1</f>
        <v>1003.8</v>
      </c>
      <c r="I297" s="82"/>
      <c r="L297" s="158"/>
      <c r="M297" s="194"/>
      <c r="T297" s="195"/>
      <c r="AT297" s="191" t="s">
        <v>132</v>
      </c>
      <c r="AU297" s="191" t="s">
        <v>82</v>
      </c>
      <c r="AV297" s="189" t="s">
        <v>82</v>
      </c>
      <c r="AW297" s="189" t="s">
        <v>30</v>
      </c>
      <c r="AX297" s="189" t="s">
        <v>72</v>
      </c>
      <c r="AY297" s="191" t="s">
        <v>127</v>
      </c>
    </row>
    <row r="298" spans="2:65" s="189" customFormat="1" x14ac:dyDescent="0.2">
      <c r="B298" s="188"/>
      <c r="D298" s="190" t="s">
        <v>132</v>
      </c>
      <c r="E298" s="191" t="s">
        <v>1</v>
      </c>
      <c r="F298" s="192" t="s">
        <v>851</v>
      </c>
      <c r="H298" s="193">
        <f xml:space="preserve"> (513+2.4+2.5+2.5+3+82)*(2.4+1)</f>
        <v>2058.3599999999997</v>
      </c>
      <c r="I298" s="82"/>
      <c r="L298" s="158"/>
      <c r="M298" s="194"/>
      <c r="T298" s="195"/>
      <c r="AT298" s="191" t="s">
        <v>132</v>
      </c>
      <c r="AU298" s="191" t="s">
        <v>82</v>
      </c>
      <c r="AV298" s="189" t="s">
        <v>82</v>
      </c>
      <c r="AW298" s="189" t="s">
        <v>30</v>
      </c>
      <c r="AX298" s="189" t="s">
        <v>72</v>
      </c>
      <c r="AY298" s="191" t="s">
        <v>127</v>
      </c>
    </row>
    <row r="299" spans="2:65" s="198" customFormat="1" x14ac:dyDescent="0.2">
      <c r="B299" s="197"/>
      <c r="D299" s="190" t="s">
        <v>132</v>
      </c>
      <c r="E299" s="199" t="s">
        <v>1</v>
      </c>
      <c r="F299" s="200" t="s">
        <v>133</v>
      </c>
      <c r="H299" s="201">
        <f>SUM(H297:H298)</f>
        <v>3062.16</v>
      </c>
      <c r="I299" s="83"/>
      <c r="L299" s="202"/>
      <c r="M299" s="203"/>
      <c r="T299" s="204"/>
      <c r="AT299" s="199" t="s">
        <v>132</v>
      </c>
      <c r="AU299" s="199" t="s">
        <v>82</v>
      </c>
      <c r="AV299" s="198" t="s">
        <v>131</v>
      </c>
      <c r="AW299" s="198" t="s">
        <v>30</v>
      </c>
      <c r="AX299" s="198" t="s">
        <v>80</v>
      </c>
      <c r="AY299" s="199" t="s">
        <v>127</v>
      </c>
    </row>
    <row r="300" spans="2:65" s="99" customFormat="1" ht="16.5" customHeight="1" x14ac:dyDescent="0.2">
      <c r="B300" s="98"/>
      <c r="C300" s="176">
        <v>49</v>
      </c>
      <c r="D300" s="176" t="s">
        <v>129</v>
      </c>
      <c r="E300" s="177" t="s">
        <v>294</v>
      </c>
      <c r="F300" s="178" t="s">
        <v>295</v>
      </c>
      <c r="G300" s="179" t="s">
        <v>130</v>
      </c>
      <c r="H300" s="180">
        <f>H301</f>
        <v>121.6</v>
      </c>
      <c r="I300" s="80"/>
      <c r="J300" s="181">
        <f>ROUND(I300*H300,2)</f>
        <v>0</v>
      </c>
      <c r="K300" s="182"/>
      <c r="L300" s="213"/>
      <c r="M300" s="183" t="s">
        <v>1</v>
      </c>
      <c r="N300" s="184" t="s">
        <v>38</v>
      </c>
      <c r="P300" s="185">
        <f>O300*H300</f>
        <v>0</v>
      </c>
      <c r="Q300" s="185">
        <v>0</v>
      </c>
      <c r="R300" s="185">
        <f>Q300*H300</f>
        <v>0</v>
      </c>
      <c r="S300" s="185">
        <v>0</v>
      </c>
      <c r="T300" s="186">
        <f>S300*H300</f>
        <v>0</v>
      </c>
      <c r="AR300" s="131" t="s">
        <v>131</v>
      </c>
      <c r="AT300" s="131" t="s">
        <v>129</v>
      </c>
      <c r="AU300" s="131" t="s">
        <v>82</v>
      </c>
      <c r="AY300" s="90" t="s">
        <v>127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90" t="s">
        <v>80</v>
      </c>
      <c r="BK300" s="187">
        <f>ROUND(I300*H300,2)</f>
        <v>0</v>
      </c>
      <c r="BL300" s="90" t="s">
        <v>131</v>
      </c>
      <c r="BM300" s="131" t="s">
        <v>296</v>
      </c>
    </row>
    <row r="301" spans="2:65" s="189" customFormat="1" x14ac:dyDescent="0.2">
      <c r="B301" s="188"/>
      <c r="D301" s="190" t="s">
        <v>132</v>
      </c>
      <c r="E301" s="191" t="s">
        <v>1</v>
      </c>
      <c r="F301" s="192" t="s">
        <v>831</v>
      </c>
      <c r="H301" s="193">
        <f>(55.1+51+10+2.1+3.4)*1</f>
        <v>121.6</v>
      </c>
      <c r="I301" s="82"/>
      <c r="L301" s="158"/>
      <c r="M301" s="194"/>
      <c r="T301" s="195"/>
      <c r="AT301" s="191" t="s">
        <v>132</v>
      </c>
      <c r="AU301" s="191" t="s">
        <v>82</v>
      </c>
      <c r="AV301" s="189" t="s">
        <v>82</v>
      </c>
      <c r="AW301" s="189" t="s">
        <v>30</v>
      </c>
      <c r="AX301" s="189" t="s">
        <v>72</v>
      </c>
      <c r="AY301" s="191" t="s">
        <v>127</v>
      </c>
    </row>
    <row r="302" spans="2:65" s="99" customFormat="1" ht="33" customHeight="1" x14ac:dyDescent="0.2">
      <c r="B302" s="98"/>
      <c r="C302" s="176">
        <v>50</v>
      </c>
      <c r="D302" s="176" t="s">
        <v>129</v>
      </c>
      <c r="E302" s="177" t="s">
        <v>297</v>
      </c>
      <c r="F302" s="178" t="s">
        <v>298</v>
      </c>
      <c r="G302" s="179" t="s">
        <v>130</v>
      </c>
      <c r="H302" s="180">
        <f>H303</f>
        <v>1606.08</v>
      </c>
      <c r="I302" s="80"/>
      <c r="J302" s="181">
        <f>ROUND(I302*H302,2)</f>
        <v>0</v>
      </c>
      <c r="K302" s="182"/>
      <c r="L302" s="213"/>
      <c r="M302" s="183" t="s">
        <v>1</v>
      </c>
      <c r="N302" s="184" t="s">
        <v>38</v>
      </c>
      <c r="P302" s="185">
        <f>O302*H302</f>
        <v>0</v>
      </c>
      <c r="Q302" s="185">
        <v>0</v>
      </c>
      <c r="R302" s="185">
        <f>Q302*H302</f>
        <v>0</v>
      </c>
      <c r="S302" s="185">
        <v>0</v>
      </c>
      <c r="T302" s="186">
        <f>S302*H302</f>
        <v>0</v>
      </c>
      <c r="AR302" s="131" t="s">
        <v>131</v>
      </c>
      <c r="AT302" s="131" t="s">
        <v>129</v>
      </c>
      <c r="AU302" s="131" t="s">
        <v>82</v>
      </c>
      <c r="AY302" s="90" t="s">
        <v>127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90" t="s">
        <v>80</v>
      </c>
      <c r="BK302" s="187">
        <f>ROUND(I302*H302,2)</f>
        <v>0</v>
      </c>
      <c r="BL302" s="90" t="s">
        <v>131</v>
      </c>
      <c r="BM302" s="131" t="s">
        <v>299</v>
      </c>
    </row>
    <row r="303" spans="2:65" s="189" customFormat="1" x14ac:dyDescent="0.2">
      <c r="B303" s="188"/>
      <c r="D303" s="190" t="s">
        <v>132</v>
      </c>
      <c r="E303" s="191" t="s">
        <v>1</v>
      </c>
      <c r="F303" s="192" t="s">
        <v>835</v>
      </c>
      <c r="H303" s="193">
        <f>(244.4+10+94.9+38.5+616)*1.6</f>
        <v>1606.08</v>
      </c>
      <c r="I303" s="82"/>
      <c r="L303" s="158"/>
      <c r="M303" s="194"/>
      <c r="T303" s="195"/>
      <c r="AT303" s="191" t="s">
        <v>132</v>
      </c>
      <c r="AU303" s="191" t="s">
        <v>82</v>
      </c>
      <c r="AV303" s="189" t="s">
        <v>82</v>
      </c>
      <c r="AW303" s="189" t="s">
        <v>30</v>
      </c>
      <c r="AX303" s="189" t="s">
        <v>72</v>
      </c>
      <c r="AY303" s="191" t="s">
        <v>127</v>
      </c>
    </row>
    <row r="304" spans="2:65" s="99" customFormat="1" ht="33" customHeight="1" x14ac:dyDescent="0.2">
      <c r="B304" s="98"/>
      <c r="C304" s="176">
        <v>51</v>
      </c>
      <c r="D304" s="176" t="s">
        <v>129</v>
      </c>
      <c r="E304" s="177" t="s">
        <v>300</v>
      </c>
      <c r="F304" s="178" t="s">
        <v>301</v>
      </c>
      <c r="G304" s="179" t="s">
        <v>130</v>
      </c>
      <c r="H304" s="180">
        <f>H305</f>
        <v>1452.9599999999998</v>
      </c>
      <c r="I304" s="80"/>
      <c r="J304" s="181">
        <f>ROUND(I304*H304,2)</f>
        <v>0</v>
      </c>
      <c r="K304" s="182"/>
      <c r="L304" s="213"/>
      <c r="M304" s="183" t="s">
        <v>1</v>
      </c>
      <c r="N304" s="184" t="s">
        <v>38</v>
      </c>
      <c r="P304" s="185">
        <f>O304*H304</f>
        <v>0</v>
      </c>
      <c r="Q304" s="185">
        <v>0</v>
      </c>
      <c r="R304" s="185">
        <f>Q304*H304</f>
        <v>0</v>
      </c>
      <c r="S304" s="185">
        <v>0</v>
      </c>
      <c r="T304" s="186">
        <f>S304*H304</f>
        <v>0</v>
      </c>
      <c r="AR304" s="131" t="s">
        <v>131</v>
      </c>
      <c r="AT304" s="131" t="s">
        <v>129</v>
      </c>
      <c r="AU304" s="131" t="s">
        <v>82</v>
      </c>
      <c r="AY304" s="90" t="s">
        <v>127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90" t="s">
        <v>80</v>
      </c>
      <c r="BK304" s="187">
        <f>ROUND(I304*H304,2)</f>
        <v>0</v>
      </c>
      <c r="BL304" s="90" t="s">
        <v>131</v>
      </c>
      <c r="BM304" s="131" t="s">
        <v>302</v>
      </c>
    </row>
    <row r="305" spans="2:65" s="189" customFormat="1" x14ac:dyDescent="0.2">
      <c r="B305" s="188"/>
      <c r="D305" s="190" t="s">
        <v>132</v>
      </c>
      <c r="E305" s="191" t="s">
        <v>1</v>
      </c>
      <c r="F305" s="192" t="s">
        <v>836</v>
      </c>
      <c r="H305" s="193">
        <f xml:space="preserve"> (513+2.4+2.5+2.5+3+82)*2.4</f>
        <v>1452.9599999999998</v>
      </c>
      <c r="I305" s="82"/>
      <c r="L305" s="158"/>
      <c r="M305" s="194"/>
      <c r="T305" s="195"/>
      <c r="AT305" s="191" t="s">
        <v>132</v>
      </c>
      <c r="AU305" s="191" t="s">
        <v>82</v>
      </c>
      <c r="AV305" s="189" t="s">
        <v>82</v>
      </c>
      <c r="AW305" s="189" t="s">
        <v>30</v>
      </c>
      <c r="AX305" s="189" t="s">
        <v>72</v>
      </c>
      <c r="AY305" s="191" t="s">
        <v>127</v>
      </c>
    </row>
    <row r="306" spans="2:65" s="99" customFormat="1" ht="24.2" customHeight="1" x14ac:dyDescent="0.2">
      <c r="B306" s="98"/>
      <c r="C306" s="176">
        <v>52</v>
      </c>
      <c r="D306" s="176" t="s">
        <v>129</v>
      </c>
      <c r="E306" s="177" t="s">
        <v>303</v>
      </c>
      <c r="F306" s="178" t="s">
        <v>304</v>
      </c>
      <c r="G306" s="179" t="s">
        <v>130</v>
      </c>
      <c r="H306" s="180">
        <f>H307</f>
        <v>1210.8</v>
      </c>
      <c r="I306" s="80"/>
      <c r="J306" s="181">
        <f>ROUND(I306*H306,2)</f>
        <v>0</v>
      </c>
      <c r="K306" s="182"/>
      <c r="L306" s="213"/>
      <c r="M306" s="183" t="s">
        <v>1</v>
      </c>
      <c r="N306" s="184" t="s">
        <v>38</v>
      </c>
      <c r="P306" s="185">
        <f>O306*H306</f>
        <v>0</v>
      </c>
      <c r="Q306" s="185">
        <v>0</v>
      </c>
      <c r="R306" s="185">
        <f>Q306*H306</f>
        <v>0</v>
      </c>
      <c r="S306" s="185">
        <v>0</v>
      </c>
      <c r="T306" s="186">
        <f>S306*H306</f>
        <v>0</v>
      </c>
      <c r="AR306" s="131" t="s">
        <v>131</v>
      </c>
      <c r="AT306" s="131" t="s">
        <v>129</v>
      </c>
      <c r="AU306" s="131" t="s">
        <v>82</v>
      </c>
      <c r="AY306" s="90" t="s">
        <v>127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90" t="s">
        <v>80</v>
      </c>
      <c r="BK306" s="187">
        <f>ROUND(I306*H306,2)</f>
        <v>0</v>
      </c>
      <c r="BL306" s="90" t="s">
        <v>131</v>
      </c>
      <c r="BM306" s="131" t="s">
        <v>305</v>
      </c>
    </row>
    <row r="307" spans="2:65" s="189" customFormat="1" x14ac:dyDescent="0.2">
      <c r="B307" s="188"/>
      <c r="D307" s="190" t="s">
        <v>132</v>
      </c>
      <c r="E307" s="191" t="s">
        <v>1</v>
      </c>
      <c r="F307" s="192" t="s">
        <v>852</v>
      </c>
      <c r="H307" s="193">
        <f xml:space="preserve"> (513+2.4+2.5+2.5+3+82)*1*2</f>
        <v>1210.8</v>
      </c>
      <c r="I307" s="82"/>
      <c r="L307" s="158"/>
      <c r="M307" s="194"/>
      <c r="T307" s="195"/>
      <c r="AT307" s="191" t="s">
        <v>132</v>
      </c>
      <c r="AU307" s="191" t="s">
        <v>82</v>
      </c>
      <c r="AV307" s="189" t="s">
        <v>82</v>
      </c>
      <c r="AW307" s="189" t="s">
        <v>30</v>
      </c>
      <c r="AX307" s="189" t="s">
        <v>72</v>
      </c>
      <c r="AY307" s="191" t="s">
        <v>127</v>
      </c>
    </row>
    <row r="308" spans="2:65" s="99" customFormat="1" ht="24.2" customHeight="1" x14ac:dyDescent="0.2">
      <c r="B308" s="98"/>
      <c r="C308" s="176">
        <v>53</v>
      </c>
      <c r="D308" s="176" t="s">
        <v>129</v>
      </c>
      <c r="E308" s="177" t="s">
        <v>306</v>
      </c>
      <c r="F308" s="178" t="s">
        <v>990</v>
      </c>
      <c r="G308" s="179" t="s">
        <v>130</v>
      </c>
      <c r="H308" s="180">
        <f>H309</f>
        <v>1003.8</v>
      </c>
      <c r="I308" s="80"/>
      <c r="J308" s="181">
        <f>ROUND(I308*H308,2)</f>
        <v>0</v>
      </c>
      <c r="K308" s="182"/>
      <c r="L308" s="213"/>
      <c r="M308" s="183" t="s">
        <v>1</v>
      </c>
      <c r="N308" s="184" t="s">
        <v>38</v>
      </c>
      <c r="P308" s="185">
        <f>O308*H308</f>
        <v>0</v>
      </c>
      <c r="Q308" s="185">
        <v>0</v>
      </c>
      <c r="R308" s="185">
        <f>Q308*H308</f>
        <v>0</v>
      </c>
      <c r="S308" s="185">
        <v>0</v>
      </c>
      <c r="T308" s="186">
        <f>S308*H308</f>
        <v>0</v>
      </c>
      <c r="AR308" s="131" t="s">
        <v>131</v>
      </c>
      <c r="AT308" s="131" t="s">
        <v>129</v>
      </c>
      <c r="AU308" s="131" t="s">
        <v>82</v>
      </c>
      <c r="AY308" s="90" t="s">
        <v>127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90" t="s">
        <v>80</v>
      </c>
      <c r="BK308" s="187">
        <f>ROUND(I308*H308,2)</f>
        <v>0</v>
      </c>
      <c r="BL308" s="90" t="s">
        <v>131</v>
      </c>
      <c r="BM308" s="131" t="s">
        <v>308</v>
      </c>
    </row>
    <row r="309" spans="2:65" s="189" customFormat="1" x14ac:dyDescent="0.2">
      <c r="B309" s="188"/>
      <c r="D309" s="190" t="s">
        <v>132</v>
      </c>
      <c r="E309" s="191" t="s">
        <v>1</v>
      </c>
      <c r="F309" s="192" t="s">
        <v>834</v>
      </c>
      <c r="H309" s="193">
        <f>(244.4+10+94.9+38.5+616)*1</f>
        <v>1003.8</v>
      </c>
      <c r="I309" s="82"/>
      <c r="L309" s="158"/>
      <c r="M309" s="194"/>
      <c r="T309" s="195"/>
      <c r="AT309" s="191" t="s">
        <v>132</v>
      </c>
      <c r="AU309" s="191" t="s">
        <v>82</v>
      </c>
      <c r="AV309" s="189" t="s">
        <v>82</v>
      </c>
      <c r="AW309" s="189" t="s">
        <v>30</v>
      </c>
      <c r="AX309" s="189" t="s">
        <v>72</v>
      </c>
      <c r="AY309" s="191" t="s">
        <v>127</v>
      </c>
    </row>
    <row r="310" spans="2:65" s="164" customFormat="1" ht="22.9" customHeight="1" x14ac:dyDescent="0.2">
      <c r="B310" s="163"/>
      <c r="D310" s="165" t="s">
        <v>71</v>
      </c>
      <c r="E310" s="174" t="s">
        <v>148</v>
      </c>
      <c r="F310" s="174" t="s">
        <v>309</v>
      </c>
      <c r="I310" s="79"/>
      <c r="J310" s="175">
        <f>SUM(J311:J469)</f>
        <v>0</v>
      </c>
      <c r="L310" s="168"/>
      <c r="M310" s="169"/>
      <c r="P310" s="170">
        <f>SUM(P311:P470)</f>
        <v>0</v>
      </c>
      <c r="R310" s="170">
        <f>SUM(R311:R470)</f>
        <v>46.117262699999976</v>
      </c>
      <c r="T310" s="171">
        <f>SUM(T311:T470)</f>
        <v>8.1222999999999992</v>
      </c>
      <c r="AR310" s="165" t="s">
        <v>80</v>
      </c>
      <c r="AT310" s="172" t="s">
        <v>71</v>
      </c>
      <c r="AU310" s="172" t="s">
        <v>80</v>
      </c>
      <c r="AY310" s="165" t="s">
        <v>127</v>
      </c>
      <c r="BK310" s="173">
        <f>SUM(BK311:BK470)</f>
        <v>0</v>
      </c>
    </row>
    <row r="311" spans="2:65" s="99" customFormat="1" ht="21.75" customHeight="1" x14ac:dyDescent="0.2">
      <c r="B311" s="98"/>
      <c r="C311" s="176">
        <v>54</v>
      </c>
      <c r="D311" s="176" t="s">
        <v>129</v>
      </c>
      <c r="E311" s="177"/>
      <c r="F311" s="178" t="s">
        <v>854</v>
      </c>
      <c r="G311" s="179" t="s">
        <v>160</v>
      </c>
      <c r="H311" s="180">
        <f>H312</f>
        <v>475</v>
      </c>
      <c r="I311" s="80"/>
      <c r="J311" s="181">
        <f>ROUND(I311*H311,2)</f>
        <v>0</v>
      </c>
      <c r="K311" s="182"/>
      <c r="L311" s="196"/>
      <c r="M311" s="183" t="s">
        <v>1</v>
      </c>
      <c r="N311" s="184" t="s">
        <v>38</v>
      </c>
      <c r="P311" s="185">
        <f>O311*H311</f>
        <v>0</v>
      </c>
      <c r="Q311" s="185">
        <v>0</v>
      </c>
      <c r="R311" s="185">
        <f>Q311*H311</f>
        <v>0</v>
      </c>
      <c r="S311" s="185">
        <v>1.6E-2</v>
      </c>
      <c r="T311" s="186">
        <f>S311*H311</f>
        <v>7.6000000000000005</v>
      </c>
      <c r="AR311" s="131" t="s">
        <v>131</v>
      </c>
      <c r="AT311" s="131" t="s">
        <v>129</v>
      </c>
      <c r="AU311" s="131" t="s">
        <v>82</v>
      </c>
      <c r="AY311" s="90" t="s">
        <v>127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90" t="s">
        <v>80</v>
      </c>
      <c r="BK311" s="187">
        <f>ROUND(I311*H311,2)</f>
        <v>0</v>
      </c>
      <c r="BL311" s="90" t="s">
        <v>131</v>
      </c>
      <c r="BM311" s="131" t="s">
        <v>310</v>
      </c>
    </row>
    <row r="312" spans="2:65" s="189" customFormat="1" x14ac:dyDescent="0.2">
      <c r="B312" s="188"/>
      <c r="D312" s="190" t="s">
        <v>132</v>
      </c>
      <c r="E312" s="191" t="s">
        <v>1</v>
      </c>
      <c r="F312" s="192" t="s">
        <v>853</v>
      </c>
      <c r="H312" s="193">
        <f>240+160+75</f>
        <v>475</v>
      </c>
      <c r="I312" s="82"/>
      <c r="L312" s="158"/>
      <c r="M312" s="194"/>
      <c r="T312" s="195"/>
      <c r="AT312" s="191" t="s">
        <v>132</v>
      </c>
      <c r="AU312" s="191" t="s">
        <v>82</v>
      </c>
      <c r="AV312" s="189" t="s">
        <v>82</v>
      </c>
      <c r="AW312" s="189" t="s">
        <v>30</v>
      </c>
      <c r="AX312" s="189" t="s">
        <v>72</v>
      </c>
      <c r="AY312" s="191" t="s">
        <v>127</v>
      </c>
    </row>
    <row r="313" spans="2:65" s="99" customFormat="1" ht="24.2" customHeight="1" x14ac:dyDescent="0.2">
      <c r="B313" s="98"/>
      <c r="C313" s="176">
        <v>55</v>
      </c>
      <c r="D313" s="176" t="s">
        <v>129</v>
      </c>
      <c r="E313" s="177"/>
      <c r="F313" s="178" t="s">
        <v>855</v>
      </c>
      <c r="G313" s="179" t="s">
        <v>196</v>
      </c>
      <c r="H313" s="180">
        <v>6</v>
      </c>
      <c r="I313" s="80"/>
      <c r="J313" s="181">
        <f>ROUND(I313*H313,2)</f>
        <v>0</v>
      </c>
      <c r="K313" s="182"/>
      <c r="L313" s="196"/>
      <c r="M313" s="183" t="s">
        <v>1</v>
      </c>
      <c r="N313" s="184" t="s">
        <v>38</v>
      </c>
      <c r="P313" s="185">
        <f>O313*H313</f>
        <v>0</v>
      </c>
      <c r="Q313" s="185">
        <v>0</v>
      </c>
      <c r="R313" s="185">
        <f>Q313*H313</f>
        <v>0</v>
      </c>
      <c r="S313" s="185">
        <v>0</v>
      </c>
      <c r="T313" s="186">
        <f>S313*H313</f>
        <v>0</v>
      </c>
      <c r="AR313" s="131" t="s">
        <v>131</v>
      </c>
      <c r="AT313" s="131" t="s">
        <v>129</v>
      </c>
      <c r="AU313" s="131" t="s">
        <v>82</v>
      </c>
      <c r="AY313" s="90" t="s">
        <v>127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90" t="s">
        <v>80</v>
      </c>
      <c r="BK313" s="187">
        <f>ROUND(I313*H313,2)</f>
        <v>0</v>
      </c>
      <c r="BL313" s="90" t="s">
        <v>131</v>
      </c>
      <c r="BM313" s="131" t="s">
        <v>311</v>
      </c>
    </row>
    <row r="314" spans="2:65" s="99" customFormat="1" ht="24.2" customHeight="1" x14ac:dyDescent="0.2">
      <c r="B314" s="98"/>
      <c r="C314" s="176">
        <v>56</v>
      </c>
      <c r="D314" s="176" t="s">
        <v>129</v>
      </c>
      <c r="E314" s="177" t="s">
        <v>313</v>
      </c>
      <c r="F314" s="178" t="s">
        <v>314</v>
      </c>
      <c r="G314" s="179" t="s">
        <v>160</v>
      </c>
      <c r="H314" s="180">
        <f>H323</f>
        <v>887.1400000000001</v>
      </c>
      <c r="I314" s="80"/>
      <c r="J314" s="181">
        <f>ROUND(I314*H314,2)</f>
        <v>0</v>
      </c>
      <c r="K314" s="182"/>
      <c r="L314" s="196"/>
      <c r="M314" s="183" t="s">
        <v>1</v>
      </c>
      <c r="N314" s="184" t="s">
        <v>38</v>
      </c>
      <c r="P314" s="185">
        <f>O314*H314</f>
        <v>0</v>
      </c>
      <c r="Q314" s="185">
        <v>0</v>
      </c>
      <c r="R314" s="185">
        <f>Q314*H314</f>
        <v>0</v>
      </c>
      <c r="S314" s="185">
        <v>0</v>
      </c>
      <c r="T314" s="186">
        <f>S314*H314</f>
        <v>0</v>
      </c>
      <c r="AR314" s="131" t="s">
        <v>131</v>
      </c>
      <c r="AT314" s="131" t="s">
        <v>129</v>
      </c>
      <c r="AU314" s="131" t="s">
        <v>82</v>
      </c>
      <c r="AY314" s="90" t="s">
        <v>127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90" t="s">
        <v>80</v>
      </c>
      <c r="BK314" s="187">
        <f>ROUND(I314*H314,2)</f>
        <v>0</v>
      </c>
      <c r="BL314" s="90" t="s">
        <v>131</v>
      </c>
      <c r="BM314" s="131" t="s">
        <v>315</v>
      </c>
    </row>
    <row r="315" spans="2:65" s="207" customFormat="1" x14ac:dyDescent="0.2">
      <c r="B315" s="206"/>
      <c r="D315" s="190" t="s">
        <v>132</v>
      </c>
      <c r="E315" s="208" t="s">
        <v>1</v>
      </c>
      <c r="F315" s="209" t="s">
        <v>143</v>
      </c>
      <c r="H315" s="208" t="s">
        <v>1</v>
      </c>
      <c r="I315" s="84"/>
      <c r="L315" s="210"/>
      <c r="M315" s="211"/>
      <c r="T315" s="212"/>
      <c r="AT315" s="208" t="s">
        <v>132</v>
      </c>
      <c r="AU315" s="208" t="s">
        <v>82</v>
      </c>
      <c r="AV315" s="207" t="s">
        <v>80</v>
      </c>
      <c r="AW315" s="207" t="s">
        <v>30</v>
      </c>
      <c r="AX315" s="207" t="s">
        <v>72</v>
      </c>
      <c r="AY315" s="208" t="s">
        <v>127</v>
      </c>
    </row>
    <row r="316" spans="2:65" s="189" customFormat="1" x14ac:dyDescent="0.2">
      <c r="B316" s="188"/>
      <c r="D316" s="190" t="s">
        <v>132</v>
      </c>
      <c r="E316" s="191" t="s">
        <v>1</v>
      </c>
      <c r="F316" s="192" t="s">
        <v>316</v>
      </c>
      <c r="H316" s="193">
        <v>55.07</v>
      </c>
      <c r="I316" s="82"/>
      <c r="L316" s="158"/>
      <c r="M316" s="194"/>
      <c r="T316" s="195"/>
      <c r="AT316" s="191" t="s">
        <v>132</v>
      </c>
      <c r="AU316" s="191" t="s">
        <v>82</v>
      </c>
      <c r="AV316" s="189" t="s">
        <v>82</v>
      </c>
      <c r="AW316" s="189" t="s">
        <v>30</v>
      </c>
      <c r="AX316" s="189" t="s">
        <v>72</v>
      </c>
      <c r="AY316" s="191" t="s">
        <v>127</v>
      </c>
    </row>
    <row r="317" spans="2:65" s="189" customFormat="1" x14ac:dyDescent="0.2">
      <c r="B317" s="188"/>
      <c r="D317" s="190" t="s">
        <v>132</v>
      </c>
      <c r="E317" s="191" t="s">
        <v>1</v>
      </c>
      <c r="F317" s="192" t="s">
        <v>317</v>
      </c>
      <c r="H317" s="193">
        <v>63.4</v>
      </c>
      <c r="I317" s="82"/>
      <c r="L317" s="158"/>
      <c r="M317" s="194"/>
      <c r="T317" s="195"/>
      <c r="AT317" s="191" t="s">
        <v>132</v>
      </c>
      <c r="AU317" s="191" t="s">
        <v>82</v>
      </c>
      <c r="AV317" s="189" t="s">
        <v>82</v>
      </c>
      <c r="AW317" s="189" t="s">
        <v>30</v>
      </c>
      <c r="AX317" s="189" t="s">
        <v>72</v>
      </c>
      <c r="AY317" s="191" t="s">
        <v>127</v>
      </c>
    </row>
    <row r="318" spans="2:65" s="189" customFormat="1" x14ac:dyDescent="0.2">
      <c r="B318" s="188"/>
      <c r="D318" s="190" t="s">
        <v>132</v>
      </c>
      <c r="E318" s="191" t="s">
        <v>1</v>
      </c>
      <c r="F318" s="192" t="s">
        <v>1081</v>
      </c>
      <c r="H318" s="193">
        <f>122.1-36</f>
        <v>86.1</v>
      </c>
      <c r="I318" s="82"/>
      <c r="L318" s="158"/>
      <c r="M318" s="194"/>
      <c r="T318" s="195"/>
      <c r="AT318" s="191" t="s">
        <v>132</v>
      </c>
      <c r="AU318" s="191" t="s">
        <v>82</v>
      </c>
      <c r="AV318" s="189" t="s">
        <v>82</v>
      </c>
      <c r="AW318" s="189" t="s">
        <v>30</v>
      </c>
      <c r="AX318" s="189" t="s">
        <v>72</v>
      </c>
      <c r="AY318" s="191" t="s">
        <v>127</v>
      </c>
    </row>
    <row r="319" spans="2:65" s="189" customFormat="1" x14ac:dyDescent="0.2">
      <c r="B319" s="188"/>
      <c r="D319" s="190" t="s">
        <v>132</v>
      </c>
      <c r="E319" s="191" t="s">
        <v>1</v>
      </c>
      <c r="F319" s="192" t="s">
        <v>318</v>
      </c>
      <c r="H319" s="193">
        <v>245.86</v>
      </c>
      <c r="I319" s="82"/>
      <c r="L319" s="158"/>
      <c r="M319" s="194"/>
      <c r="T319" s="195"/>
      <c r="AT319" s="191" t="s">
        <v>132</v>
      </c>
      <c r="AU319" s="191" t="s">
        <v>82</v>
      </c>
      <c r="AV319" s="189" t="s">
        <v>82</v>
      </c>
      <c r="AW319" s="189" t="s">
        <v>30</v>
      </c>
      <c r="AX319" s="189" t="s">
        <v>72</v>
      </c>
      <c r="AY319" s="191" t="s">
        <v>127</v>
      </c>
    </row>
    <row r="320" spans="2:65" s="189" customFormat="1" x14ac:dyDescent="0.2">
      <c r="B320" s="188"/>
      <c r="D320" s="190" t="s">
        <v>132</v>
      </c>
      <c r="E320" s="191" t="s">
        <v>1</v>
      </c>
      <c r="F320" s="192" t="s">
        <v>319</v>
      </c>
      <c r="H320" s="193">
        <f>159.84-49.1</f>
        <v>110.74000000000001</v>
      </c>
      <c r="I320" s="82"/>
      <c r="L320" s="158"/>
      <c r="M320" s="194"/>
      <c r="T320" s="195"/>
      <c r="AT320" s="191" t="s">
        <v>132</v>
      </c>
      <c r="AU320" s="191" t="s">
        <v>82</v>
      </c>
      <c r="AV320" s="189" t="s">
        <v>82</v>
      </c>
      <c r="AW320" s="189" t="s">
        <v>30</v>
      </c>
      <c r="AX320" s="189" t="s">
        <v>72</v>
      </c>
      <c r="AY320" s="191" t="s">
        <v>127</v>
      </c>
    </row>
    <row r="321" spans="2:65" s="189" customFormat="1" x14ac:dyDescent="0.2">
      <c r="B321" s="188"/>
      <c r="D321" s="190" t="s">
        <v>132</v>
      </c>
      <c r="E321" s="191" t="s">
        <v>1</v>
      </c>
      <c r="F321" s="192" t="s">
        <v>320</v>
      </c>
      <c r="H321" s="193">
        <v>75.22</v>
      </c>
      <c r="I321" s="82"/>
      <c r="L321" s="158"/>
      <c r="M321" s="194"/>
      <c r="T321" s="195"/>
      <c r="AT321" s="191" t="s">
        <v>132</v>
      </c>
      <c r="AU321" s="191" t="s">
        <v>82</v>
      </c>
      <c r="AV321" s="189" t="s">
        <v>82</v>
      </c>
      <c r="AW321" s="189" t="s">
        <v>30</v>
      </c>
      <c r="AX321" s="189" t="s">
        <v>72</v>
      </c>
      <c r="AY321" s="191" t="s">
        <v>127</v>
      </c>
    </row>
    <row r="322" spans="2:65" s="189" customFormat="1" x14ac:dyDescent="0.2">
      <c r="B322" s="188"/>
      <c r="D322" s="190" t="s">
        <v>132</v>
      </c>
      <c r="E322" s="191" t="s">
        <v>1</v>
      </c>
      <c r="F322" s="192" t="s">
        <v>321</v>
      </c>
      <c r="H322" s="193">
        <v>250.75</v>
      </c>
      <c r="I322" s="82"/>
      <c r="L322" s="158"/>
      <c r="M322" s="194"/>
      <c r="T322" s="195"/>
      <c r="AT322" s="191" t="s">
        <v>132</v>
      </c>
      <c r="AU322" s="191" t="s">
        <v>82</v>
      </c>
      <c r="AV322" s="189" t="s">
        <v>82</v>
      </c>
      <c r="AW322" s="189" t="s">
        <v>30</v>
      </c>
      <c r="AX322" s="189" t="s">
        <v>72</v>
      </c>
      <c r="AY322" s="191" t="s">
        <v>127</v>
      </c>
    </row>
    <row r="323" spans="2:65" s="198" customFormat="1" x14ac:dyDescent="0.2">
      <c r="B323" s="197"/>
      <c r="D323" s="190" t="s">
        <v>132</v>
      </c>
      <c r="E323" s="199" t="s">
        <v>1</v>
      </c>
      <c r="F323" s="200" t="s">
        <v>133</v>
      </c>
      <c r="H323" s="201">
        <f>SUM(H316:H322)</f>
        <v>887.1400000000001</v>
      </c>
      <c r="I323" s="83"/>
      <c r="L323" s="202"/>
      <c r="M323" s="203"/>
      <c r="T323" s="204"/>
      <c r="AT323" s="199" t="s">
        <v>132</v>
      </c>
      <c r="AU323" s="199" t="s">
        <v>82</v>
      </c>
      <c r="AV323" s="198" t="s">
        <v>131</v>
      </c>
      <c r="AW323" s="198" t="s">
        <v>30</v>
      </c>
      <c r="AX323" s="198" t="s">
        <v>80</v>
      </c>
      <c r="AY323" s="199" t="s">
        <v>127</v>
      </c>
    </row>
    <row r="324" spans="2:65" s="99" customFormat="1" ht="24.2" customHeight="1" x14ac:dyDescent="0.2">
      <c r="B324" s="98"/>
      <c r="C324" s="214">
        <v>57</v>
      </c>
      <c r="D324" s="214" t="s">
        <v>241</v>
      </c>
      <c r="E324" s="215" t="s">
        <v>322</v>
      </c>
      <c r="F324" s="216" t="s">
        <v>323</v>
      </c>
      <c r="G324" s="217" t="s">
        <v>160</v>
      </c>
      <c r="H324" s="218">
        <f>H327</f>
        <v>936.24000000000012</v>
      </c>
      <c r="I324" s="85"/>
      <c r="J324" s="219">
        <f>ROUND(I324*H324,2)</f>
        <v>0</v>
      </c>
      <c r="K324" s="220"/>
      <c r="L324" s="196"/>
      <c r="M324" s="221" t="s">
        <v>1</v>
      </c>
      <c r="N324" s="222" t="s">
        <v>38</v>
      </c>
      <c r="P324" s="185">
        <f>O324*H324</f>
        <v>0</v>
      </c>
      <c r="Q324" s="185">
        <v>1.4500000000000001E-2</v>
      </c>
      <c r="R324" s="185">
        <f>Q324*H324</f>
        <v>13.575480000000002</v>
      </c>
      <c r="S324" s="185">
        <v>0</v>
      </c>
      <c r="T324" s="186">
        <f>S324*H324</f>
        <v>0</v>
      </c>
      <c r="AR324" s="131" t="s">
        <v>148</v>
      </c>
      <c r="AT324" s="131" t="s">
        <v>241</v>
      </c>
      <c r="AU324" s="131" t="s">
        <v>82</v>
      </c>
      <c r="AY324" s="90" t="s">
        <v>127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90" t="s">
        <v>80</v>
      </c>
      <c r="BK324" s="187">
        <f>ROUND(I324*H324,2)</f>
        <v>0</v>
      </c>
      <c r="BL324" s="90" t="s">
        <v>131</v>
      </c>
      <c r="BM324" s="131" t="s">
        <v>324</v>
      </c>
    </row>
    <row r="325" spans="2:65" s="241" customFormat="1" ht="13.5" customHeight="1" x14ac:dyDescent="0.2">
      <c r="B325" s="230"/>
      <c r="C325" s="231"/>
      <c r="D325" s="231"/>
      <c r="E325" s="232"/>
      <c r="F325" s="233" t="s">
        <v>1076</v>
      </c>
      <c r="G325" s="234"/>
      <c r="H325" s="235">
        <f>H323</f>
        <v>887.1400000000001</v>
      </c>
      <c r="I325" s="87"/>
      <c r="J325" s="236"/>
      <c r="K325" s="237"/>
      <c r="L325" s="238"/>
      <c r="M325" s="239"/>
      <c r="N325" s="240"/>
      <c r="P325" s="242"/>
      <c r="Q325" s="242"/>
      <c r="R325" s="242"/>
      <c r="S325" s="242"/>
      <c r="T325" s="243"/>
      <c r="AR325" s="131"/>
      <c r="AT325" s="131"/>
      <c r="AU325" s="131"/>
      <c r="AY325" s="244"/>
      <c r="BE325" s="245"/>
      <c r="BF325" s="245"/>
      <c r="BG325" s="245"/>
      <c r="BH325" s="245"/>
      <c r="BI325" s="245"/>
      <c r="BJ325" s="244"/>
      <c r="BK325" s="245"/>
      <c r="BL325" s="244"/>
      <c r="BM325" s="131"/>
    </row>
    <row r="326" spans="2:65" s="241" customFormat="1" ht="13.5" customHeight="1" x14ac:dyDescent="0.2">
      <c r="B326" s="230"/>
      <c r="C326" s="231"/>
      <c r="D326" s="231"/>
      <c r="E326" s="232"/>
      <c r="F326" s="233" t="s">
        <v>1077</v>
      </c>
      <c r="G326" s="234"/>
      <c r="H326" s="235">
        <v>49.1</v>
      </c>
      <c r="I326" s="87"/>
      <c r="J326" s="236"/>
      <c r="K326" s="237"/>
      <c r="L326" s="238"/>
      <c r="M326" s="239"/>
      <c r="N326" s="240"/>
      <c r="P326" s="242"/>
      <c r="Q326" s="242"/>
      <c r="R326" s="242"/>
      <c r="S326" s="242"/>
      <c r="T326" s="243"/>
      <c r="AR326" s="131"/>
      <c r="AT326" s="131"/>
      <c r="AU326" s="131"/>
      <c r="AY326" s="244"/>
      <c r="BE326" s="245"/>
      <c r="BF326" s="245"/>
      <c r="BG326" s="245"/>
      <c r="BH326" s="245"/>
      <c r="BI326" s="245"/>
      <c r="BJ326" s="244"/>
      <c r="BK326" s="245"/>
      <c r="BL326" s="244"/>
      <c r="BM326" s="131"/>
    </row>
    <row r="327" spans="2:65" s="198" customFormat="1" x14ac:dyDescent="0.2">
      <c r="B327" s="197"/>
      <c r="D327" s="190" t="s">
        <v>132</v>
      </c>
      <c r="E327" s="199" t="s">
        <v>1</v>
      </c>
      <c r="F327" s="200" t="s">
        <v>133</v>
      </c>
      <c r="H327" s="201">
        <f>SUM(H325:H326)</f>
        <v>936.24000000000012</v>
      </c>
      <c r="I327" s="83"/>
      <c r="L327" s="202"/>
      <c r="M327" s="203"/>
      <c r="T327" s="204"/>
      <c r="AT327" s="199" t="s">
        <v>132</v>
      </c>
      <c r="AU327" s="199" t="s">
        <v>82</v>
      </c>
      <c r="AV327" s="198" t="s">
        <v>131</v>
      </c>
      <c r="AW327" s="198" t="s">
        <v>30</v>
      </c>
      <c r="AX327" s="198" t="s">
        <v>80</v>
      </c>
      <c r="AY327" s="199" t="s">
        <v>127</v>
      </c>
    </row>
    <row r="328" spans="2:65" s="99" customFormat="1" ht="39" customHeight="1" x14ac:dyDescent="0.2">
      <c r="B328" s="98"/>
      <c r="C328" s="176">
        <v>58</v>
      </c>
      <c r="D328" s="176" t="s">
        <v>129</v>
      </c>
      <c r="E328" s="177"/>
      <c r="F328" s="178" t="s">
        <v>858</v>
      </c>
      <c r="G328" s="179" t="s">
        <v>160</v>
      </c>
      <c r="H328" s="180">
        <v>36</v>
      </c>
      <c r="I328" s="80"/>
      <c r="J328" s="181">
        <f>ROUND(I328*H328,2)</f>
        <v>0</v>
      </c>
      <c r="K328" s="182"/>
      <c r="L328" s="196"/>
      <c r="M328" s="183" t="s">
        <v>1</v>
      </c>
      <c r="N328" s="184" t="s">
        <v>38</v>
      </c>
      <c r="P328" s="185">
        <f>O328*H328</f>
        <v>0</v>
      </c>
      <c r="Q328" s="185">
        <v>0</v>
      </c>
      <c r="R328" s="185">
        <f>Q328*H328</f>
        <v>0</v>
      </c>
      <c r="S328" s="185">
        <v>0</v>
      </c>
      <c r="T328" s="186">
        <f>S328*H328</f>
        <v>0</v>
      </c>
      <c r="AR328" s="131" t="s">
        <v>131</v>
      </c>
      <c r="AT328" s="131" t="s">
        <v>129</v>
      </c>
      <c r="AU328" s="131" t="s">
        <v>82</v>
      </c>
      <c r="AY328" s="90" t="s">
        <v>127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90" t="s">
        <v>80</v>
      </c>
      <c r="BK328" s="187">
        <f>ROUND(I328*H328,2)</f>
        <v>0</v>
      </c>
      <c r="BL328" s="90" t="s">
        <v>131</v>
      </c>
      <c r="BM328" s="131" t="s">
        <v>315</v>
      </c>
    </row>
    <row r="329" spans="2:65" s="99" customFormat="1" ht="24.2" customHeight="1" x14ac:dyDescent="0.2">
      <c r="B329" s="98"/>
      <c r="C329" s="214">
        <v>59</v>
      </c>
      <c r="D329" s="214" t="s">
        <v>241</v>
      </c>
      <c r="E329" s="215"/>
      <c r="F329" s="216" t="s">
        <v>856</v>
      </c>
      <c r="G329" s="217" t="s">
        <v>160</v>
      </c>
      <c r="H329" s="218">
        <v>36</v>
      </c>
      <c r="I329" s="85"/>
      <c r="J329" s="219">
        <f>ROUND(I329*H329,2)</f>
        <v>0</v>
      </c>
      <c r="K329" s="220"/>
      <c r="L329" s="196"/>
      <c r="M329" s="221" t="s">
        <v>1</v>
      </c>
      <c r="N329" s="222" t="s">
        <v>38</v>
      </c>
      <c r="P329" s="185">
        <f>O329*H329</f>
        <v>0</v>
      </c>
      <c r="Q329" s="185">
        <v>1.4500000000000001E-2</v>
      </c>
      <c r="R329" s="185">
        <f>Q329*H329</f>
        <v>0.52200000000000002</v>
      </c>
      <c r="S329" s="185">
        <v>0</v>
      </c>
      <c r="T329" s="186">
        <f>S329*H329</f>
        <v>0</v>
      </c>
      <c r="AR329" s="131" t="s">
        <v>148</v>
      </c>
      <c r="AT329" s="131" t="s">
        <v>241</v>
      </c>
      <c r="AU329" s="131" t="s">
        <v>82</v>
      </c>
      <c r="AY329" s="90" t="s">
        <v>127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90" t="s">
        <v>80</v>
      </c>
      <c r="BK329" s="187">
        <f>ROUND(I329*H329,2)</f>
        <v>0</v>
      </c>
      <c r="BL329" s="90" t="s">
        <v>131</v>
      </c>
      <c r="BM329" s="131" t="s">
        <v>324</v>
      </c>
    </row>
    <row r="330" spans="2:65" s="99" customFormat="1" ht="16.5" customHeight="1" x14ac:dyDescent="0.2">
      <c r="B330" s="98"/>
      <c r="C330" s="214">
        <v>60</v>
      </c>
      <c r="D330" s="214" t="s">
        <v>241</v>
      </c>
      <c r="E330" s="215"/>
      <c r="F330" s="216" t="s">
        <v>857</v>
      </c>
      <c r="G330" s="217" t="s">
        <v>196</v>
      </c>
      <c r="H330" s="218">
        <v>6</v>
      </c>
      <c r="I330" s="85"/>
      <c r="J330" s="219">
        <f>ROUND(I330*H330,2)</f>
        <v>0</v>
      </c>
      <c r="K330" s="220"/>
      <c r="L330" s="246"/>
      <c r="M330" s="221" t="s">
        <v>1</v>
      </c>
      <c r="N330" s="222" t="s">
        <v>38</v>
      </c>
      <c r="P330" s="185">
        <f>O330*H330</f>
        <v>0</v>
      </c>
      <c r="Q330" s="185">
        <v>6.9999999999999999E-4</v>
      </c>
      <c r="R330" s="185">
        <f>Q330*H330</f>
        <v>4.1999999999999997E-3</v>
      </c>
      <c r="S330" s="185">
        <v>0</v>
      </c>
      <c r="T330" s="186">
        <f>S330*H330</f>
        <v>0</v>
      </c>
      <c r="AR330" s="131" t="s">
        <v>148</v>
      </c>
      <c r="AT330" s="131" t="s">
        <v>241</v>
      </c>
      <c r="AU330" s="131" t="s">
        <v>82</v>
      </c>
      <c r="AY330" s="90" t="s">
        <v>127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90" t="s">
        <v>80</v>
      </c>
      <c r="BK330" s="187">
        <f>ROUND(I330*H330,2)</f>
        <v>0</v>
      </c>
      <c r="BL330" s="90" t="s">
        <v>131</v>
      </c>
      <c r="BM330" s="131" t="s">
        <v>337</v>
      </c>
    </row>
    <row r="331" spans="2:65" s="99" customFormat="1" ht="24.2" customHeight="1" x14ac:dyDescent="0.2">
      <c r="B331" s="98"/>
      <c r="C331" s="176" t="s">
        <v>325</v>
      </c>
      <c r="D331" s="176" t="s">
        <v>129</v>
      </c>
      <c r="E331" s="177" t="s">
        <v>326</v>
      </c>
      <c r="F331" s="178" t="s">
        <v>327</v>
      </c>
      <c r="G331" s="179" t="s">
        <v>160</v>
      </c>
      <c r="H331" s="180">
        <f>H337</f>
        <v>1038.1500000000001</v>
      </c>
      <c r="I331" s="80"/>
      <c r="J331" s="181">
        <f>ROUND(I331*H331,2)</f>
        <v>0</v>
      </c>
      <c r="K331" s="182"/>
      <c r="L331" s="196"/>
      <c r="M331" s="183" t="s">
        <v>1</v>
      </c>
      <c r="N331" s="184" t="s">
        <v>38</v>
      </c>
      <c r="P331" s="185">
        <f>O331*H331</f>
        <v>0</v>
      </c>
      <c r="Q331" s="185">
        <v>0</v>
      </c>
      <c r="R331" s="185">
        <f>Q331*H331</f>
        <v>0</v>
      </c>
      <c r="S331" s="185">
        <v>0</v>
      </c>
      <c r="T331" s="186">
        <f>S331*H331</f>
        <v>0</v>
      </c>
      <c r="AR331" s="131" t="s">
        <v>131</v>
      </c>
      <c r="AT331" s="131" t="s">
        <v>129</v>
      </c>
      <c r="AU331" s="131" t="s">
        <v>82</v>
      </c>
      <c r="AY331" s="90" t="s">
        <v>127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90" t="s">
        <v>80</v>
      </c>
      <c r="BK331" s="187">
        <f>ROUND(I331*H331,2)</f>
        <v>0</v>
      </c>
      <c r="BL331" s="90" t="s">
        <v>131</v>
      </c>
      <c r="BM331" s="131" t="s">
        <v>328</v>
      </c>
    </row>
    <row r="332" spans="2:65" s="207" customFormat="1" x14ac:dyDescent="0.2">
      <c r="B332" s="206"/>
      <c r="D332" s="190" t="s">
        <v>132</v>
      </c>
      <c r="E332" s="208" t="s">
        <v>1</v>
      </c>
      <c r="F332" s="209" t="s">
        <v>143</v>
      </c>
      <c r="H332" s="208" t="s">
        <v>1</v>
      </c>
      <c r="I332" s="84"/>
      <c r="L332" s="210"/>
      <c r="M332" s="211"/>
      <c r="T332" s="212"/>
      <c r="AT332" s="208" t="s">
        <v>132</v>
      </c>
      <c r="AU332" s="208" t="s">
        <v>82</v>
      </c>
      <c r="AV332" s="207" t="s">
        <v>80</v>
      </c>
      <c r="AW332" s="207" t="s">
        <v>30</v>
      </c>
      <c r="AX332" s="207" t="s">
        <v>72</v>
      </c>
      <c r="AY332" s="208" t="s">
        <v>127</v>
      </c>
    </row>
    <row r="333" spans="2:65" s="189" customFormat="1" x14ac:dyDescent="0.2">
      <c r="B333" s="188"/>
      <c r="D333" s="190" t="s">
        <v>132</v>
      </c>
      <c r="E333" s="191" t="s">
        <v>1</v>
      </c>
      <c r="F333" s="192" t="s">
        <v>329</v>
      </c>
      <c r="H333" s="193">
        <v>528.78</v>
      </c>
      <c r="I333" s="82"/>
      <c r="L333" s="158"/>
      <c r="M333" s="194"/>
      <c r="T333" s="195"/>
      <c r="AT333" s="191" t="s">
        <v>132</v>
      </c>
      <c r="AU333" s="191" t="s">
        <v>82</v>
      </c>
      <c r="AV333" s="189" t="s">
        <v>82</v>
      </c>
      <c r="AW333" s="189" t="s">
        <v>30</v>
      </c>
      <c r="AX333" s="189" t="s">
        <v>72</v>
      </c>
      <c r="AY333" s="191" t="s">
        <v>127</v>
      </c>
    </row>
    <row r="334" spans="2:65" s="189" customFormat="1" x14ac:dyDescent="0.2">
      <c r="B334" s="188"/>
      <c r="D334" s="190" t="s">
        <v>132</v>
      </c>
      <c r="E334" s="191" t="s">
        <v>1</v>
      </c>
      <c r="F334" s="192" t="s">
        <v>330</v>
      </c>
      <c r="H334" s="193">
        <v>54.09</v>
      </c>
      <c r="I334" s="82"/>
      <c r="L334" s="158"/>
      <c r="M334" s="194"/>
      <c r="T334" s="195"/>
      <c r="AT334" s="191" t="s">
        <v>132</v>
      </c>
      <c r="AU334" s="191" t="s">
        <v>82</v>
      </c>
      <c r="AV334" s="189" t="s">
        <v>82</v>
      </c>
      <c r="AW334" s="189" t="s">
        <v>30</v>
      </c>
      <c r="AX334" s="189" t="s">
        <v>72</v>
      </c>
      <c r="AY334" s="191" t="s">
        <v>127</v>
      </c>
    </row>
    <row r="335" spans="2:65" s="189" customFormat="1" x14ac:dyDescent="0.2">
      <c r="B335" s="188"/>
      <c r="D335" s="190" t="s">
        <v>132</v>
      </c>
      <c r="E335" s="191" t="s">
        <v>1</v>
      </c>
      <c r="F335" s="192" t="s">
        <v>331</v>
      </c>
      <c r="H335" s="193">
        <v>436.38</v>
      </c>
      <c r="I335" s="82"/>
      <c r="L335" s="158"/>
      <c r="M335" s="194"/>
      <c r="T335" s="195"/>
      <c r="AT335" s="191" t="s">
        <v>132</v>
      </c>
      <c r="AU335" s="191" t="s">
        <v>82</v>
      </c>
      <c r="AV335" s="189" t="s">
        <v>82</v>
      </c>
      <c r="AW335" s="189" t="s">
        <v>30</v>
      </c>
      <c r="AX335" s="189" t="s">
        <v>72</v>
      </c>
      <c r="AY335" s="191" t="s">
        <v>127</v>
      </c>
    </row>
    <row r="336" spans="2:65" s="189" customFormat="1" x14ac:dyDescent="0.2">
      <c r="B336" s="188"/>
      <c r="D336" s="190" t="s">
        <v>132</v>
      </c>
      <c r="E336" s="191" t="s">
        <v>1</v>
      </c>
      <c r="F336" s="192" t="s">
        <v>332</v>
      </c>
      <c r="H336" s="193">
        <v>18.899999999999999</v>
      </c>
      <c r="I336" s="82"/>
      <c r="L336" s="158"/>
      <c r="M336" s="194"/>
      <c r="T336" s="195"/>
      <c r="AT336" s="191" t="s">
        <v>132</v>
      </c>
      <c r="AU336" s="191" t="s">
        <v>82</v>
      </c>
      <c r="AV336" s="189" t="s">
        <v>82</v>
      </c>
      <c r="AW336" s="189" t="s">
        <v>30</v>
      </c>
      <c r="AX336" s="189" t="s">
        <v>72</v>
      </c>
      <c r="AY336" s="191" t="s">
        <v>127</v>
      </c>
    </row>
    <row r="337" spans="2:65" s="198" customFormat="1" x14ac:dyDescent="0.2">
      <c r="B337" s="197"/>
      <c r="D337" s="190" t="s">
        <v>132</v>
      </c>
      <c r="E337" s="199" t="s">
        <v>1</v>
      </c>
      <c r="F337" s="200" t="s">
        <v>133</v>
      </c>
      <c r="H337" s="201">
        <f>SUM(H333:H336)</f>
        <v>1038.1500000000001</v>
      </c>
      <c r="I337" s="83"/>
      <c r="L337" s="202"/>
      <c r="M337" s="203"/>
      <c r="T337" s="204"/>
      <c r="AT337" s="199" t="s">
        <v>132</v>
      </c>
      <c r="AU337" s="199" t="s">
        <v>82</v>
      </c>
      <c r="AV337" s="198" t="s">
        <v>131</v>
      </c>
      <c r="AW337" s="198" t="s">
        <v>30</v>
      </c>
      <c r="AX337" s="198" t="s">
        <v>80</v>
      </c>
      <c r="AY337" s="199" t="s">
        <v>127</v>
      </c>
    </row>
    <row r="338" spans="2:65" s="99" customFormat="1" ht="24.2" customHeight="1" x14ac:dyDescent="0.2">
      <c r="B338" s="98"/>
      <c r="C338" s="214" t="s">
        <v>333</v>
      </c>
      <c r="D338" s="214" t="s">
        <v>241</v>
      </c>
      <c r="E338" s="215" t="s">
        <v>334</v>
      </c>
      <c r="F338" s="216" t="s">
        <v>335</v>
      </c>
      <c r="G338" s="217" t="s">
        <v>160</v>
      </c>
      <c r="H338" s="218">
        <f>H331</f>
        <v>1038.1500000000001</v>
      </c>
      <c r="I338" s="85"/>
      <c r="J338" s="219">
        <f>ROUND(I338*H338,2)</f>
        <v>0</v>
      </c>
      <c r="K338" s="220"/>
      <c r="L338" s="196"/>
      <c r="M338" s="221" t="s">
        <v>1</v>
      </c>
      <c r="N338" s="222" t="s">
        <v>38</v>
      </c>
      <c r="P338" s="185">
        <f>O338*H338</f>
        <v>0</v>
      </c>
      <c r="Q338" s="185">
        <v>1.8100000000000002E-2</v>
      </c>
      <c r="R338" s="185">
        <f>Q338*H338</f>
        <v>18.790515000000003</v>
      </c>
      <c r="S338" s="185">
        <v>0</v>
      </c>
      <c r="T338" s="186">
        <f>S338*H338</f>
        <v>0</v>
      </c>
      <c r="AR338" s="131" t="s">
        <v>148</v>
      </c>
      <c r="AT338" s="131" t="s">
        <v>241</v>
      </c>
      <c r="AU338" s="131" t="s">
        <v>82</v>
      </c>
      <c r="AY338" s="90" t="s">
        <v>127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90" t="s">
        <v>80</v>
      </c>
      <c r="BK338" s="187">
        <f>ROUND(I338*H338,2)</f>
        <v>0</v>
      </c>
      <c r="BL338" s="90" t="s">
        <v>131</v>
      </c>
      <c r="BM338" s="131" t="s">
        <v>336</v>
      </c>
    </row>
    <row r="339" spans="2:65" s="99" customFormat="1" ht="24.2" customHeight="1" x14ac:dyDescent="0.2">
      <c r="B339" s="98"/>
      <c r="C339" s="176">
        <v>63</v>
      </c>
      <c r="D339" s="176" t="s">
        <v>129</v>
      </c>
      <c r="E339" s="177" t="s">
        <v>339</v>
      </c>
      <c r="F339" s="178" t="s">
        <v>340</v>
      </c>
      <c r="G339" s="179" t="s">
        <v>196</v>
      </c>
      <c r="H339" s="180">
        <f>H340</f>
        <v>40</v>
      </c>
      <c r="I339" s="80"/>
      <c r="J339" s="181">
        <f>ROUND(I339*H339,2)</f>
        <v>0</v>
      </c>
      <c r="K339" s="182"/>
      <c r="L339" s="196"/>
      <c r="M339" s="183" t="s">
        <v>1</v>
      </c>
      <c r="N339" s="184" t="s">
        <v>38</v>
      </c>
      <c r="P339" s="185">
        <f>O339*H339</f>
        <v>0</v>
      </c>
      <c r="Q339" s="185">
        <v>0</v>
      </c>
      <c r="R339" s="185">
        <f>Q339*H339</f>
        <v>0</v>
      </c>
      <c r="S339" s="185">
        <v>0</v>
      </c>
      <c r="T339" s="186">
        <f>S339*H339</f>
        <v>0</v>
      </c>
      <c r="AR339" s="131" t="s">
        <v>131</v>
      </c>
      <c r="AT339" s="131" t="s">
        <v>129</v>
      </c>
      <c r="AU339" s="131" t="s">
        <v>82</v>
      </c>
      <c r="AY339" s="90" t="s">
        <v>127</v>
      </c>
      <c r="BE339" s="187">
        <f>IF(N339="základní",J339,0)</f>
        <v>0</v>
      </c>
      <c r="BF339" s="187">
        <f>IF(N339="snížená",J339,0)</f>
        <v>0</v>
      </c>
      <c r="BG339" s="187">
        <f>IF(N339="zákl. přenesená",J339,0)</f>
        <v>0</v>
      </c>
      <c r="BH339" s="187">
        <f>IF(N339="sníž. přenesená",J339,0)</f>
        <v>0</v>
      </c>
      <c r="BI339" s="187">
        <f>IF(N339="nulová",J339,0)</f>
        <v>0</v>
      </c>
      <c r="BJ339" s="90" t="s">
        <v>80</v>
      </c>
      <c r="BK339" s="187">
        <f>ROUND(I339*H339,2)</f>
        <v>0</v>
      </c>
      <c r="BL339" s="90" t="s">
        <v>131</v>
      </c>
      <c r="BM339" s="131" t="s">
        <v>341</v>
      </c>
    </row>
    <row r="340" spans="2:65" s="189" customFormat="1" x14ac:dyDescent="0.2">
      <c r="B340" s="188"/>
      <c r="D340" s="190" t="s">
        <v>132</v>
      </c>
      <c r="E340" s="191" t="s">
        <v>1</v>
      </c>
      <c r="F340" s="192" t="s">
        <v>1082</v>
      </c>
      <c r="H340" s="193">
        <f>SUM(H341:H345)</f>
        <v>40</v>
      </c>
      <c r="I340" s="82"/>
      <c r="L340" s="158"/>
      <c r="M340" s="194"/>
      <c r="T340" s="195"/>
      <c r="AT340" s="191" t="s">
        <v>132</v>
      </c>
      <c r="AU340" s="191" t="s">
        <v>82</v>
      </c>
      <c r="AV340" s="189" t="s">
        <v>82</v>
      </c>
      <c r="AW340" s="189" t="s">
        <v>30</v>
      </c>
      <c r="AX340" s="189" t="s">
        <v>72</v>
      </c>
      <c r="AY340" s="191" t="s">
        <v>127</v>
      </c>
    </row>
    <row r="341" spans="2:65" s="99" customFormat="1" ht="21.75" customHeight="1" x14ac:dyDescent="0.2">
      <c r="B341" s="98"/>
      <c r="C341" s="214">
        <v>64</v>
      </c>
      <c r="D341" s="214" t="s">
        <v>241</v>
      </c>
      <c r="E341" s="215" t="s">
        <v>342</v>
      </c>
      <c r="F341" s="216" t="s">
        <v>343</v>
      </c>
      <c r="G341" s="217" t="s">
        <v>196</v>
      </c>
      <c r="H341" s="218">
        <v>14</v>
      </c>
      <c r="I341" s="85"/>
      <c r="J341" s="219">
        <f t="shared" ref="J341:J346" si="0">ROUND(I341*H341,2)</f>
        <v>0</v>
      </c>
      <c r="K341" s="220"/>
      <c r="L341" s="246"/>
      <c r="M341" s="221" t="s">
        <v>1</v>
      </c>
      <c r="N341" s="222" t="s">
        <v>38</v>
      </c>
      <c r="P341" s="185">
        <f t="shared" ref="P341:P346" si="1">O341*H341</f>
        <v>0</v>
      </c>
      <c r="Q341" s="185">
        <v>6.1999999999999998E-3</v>
      </c>
      <c r="R341" s="185">
        <f t="shared" ref="R341:R346" si="2">Q341*H341</f>
        <v>8.6800000000000002E-2</v>
      </c>
      <c r="S341" s="185">
        <v>0</v>
      </c>
      <c r="T341" s="186">
        <f t="shared" ref="T341:T346" si="3">S341*H341</f>
        <v>0</v>
      </c>
      <c r="AR341" s="131" t="s">
        <v>148</v>
      </c>
      <c r="AT341" s="131" t="s">
        <v>241</v>
      </c>
      <c r="AU341" s="131" t="s">
        <v>82</v>
      </c>
      <c r="AY341" s="90" t="s">
        <v>127</v>
      </c>
      <c r="BE341" s="187">
        <f t="shared" ref="BE341:BE346" si="4">IF(N341="základní",J341,0)</f>
        <v>0</v>
      </c>
      <c r="BF341" s="187">
        <f t="shared" ref="BF341:BF346" si="5">IF(N341="snížená",J341,0)</f>
        <v>0</v>
      </c>
      <c r="BG341" s="187">
        <f t="shared" ref="BG341:BG346" si="6">IF(N341="zákl. přenesená",J341,0)</f>
        <v>0</v>
      </c>
      <c r="BH341" s="187">
        <f t="shared" ref="BH341:BH346" si="7">IF(N341="sníž. přenesená",J341,0)</f>
        <v>0</v>
      </c>
      <c r="BI341" s="187">
        <f t="shared" ref="BI341:BI346" si="8">IF(N341="nulová",J341,0)</f>
        <v>0</v>
      </c>
      <c r="BJ341" s="90" t="s">
        <v>80</v>
      </c>
      <c r="BK341" s="187">
        <f t="shared" ref="BK341:BK346" si="9">ROUND(I341*H341,2)</f>
        <v>0</v>
      </c>
      <c r="BL341" s="90" t="s">
        <v>131</v>
      </c>
      <c r="BM341" s="131" t="s">
        <v>344</v>
      </c>
    </row>
    <row r="342" spans="2:65" s="99" customFormat="1" ht="21.75" customHeight="1" x14ac:dyDescent="0.2">
      <c r="B342" s="98"/>
      <c r="C342" s="214">
        <v>65</v>
      </c>
      <c r="D342" s="214" t="s">
        <v>241</v>
      </c>
      <c r="E342" s="215" t="s">
        <v>345</v>
      </c>
      <c r="F342" s="216" t="s">
        <v>346</v>
      </c>
      <c r="G342" s="217" t="s">
        <v>196</v>
      </c>
      <c r="H342" s="218">
        <v>11</v>
      </c>
      <c r="I342" s="85"/>
      <c r="J342" s="219">
        <f t="shared" si="0"/>
        <v>0</v>
      </c>
      <c r="K342" s="220"/>
      <c r="L342" s="246"/>
      <c r="M342" s="221" t="s">
        <v>1</v>
      </c>
      <c r="N342" s="222" t="s">
        <v>38</v>
      </c>
      <c r="P342" s="185">
        <f t="shared" si="1"/>
        <v>0</v>
      </c>
      <c r="Q342" s="185">
        <v>6.1999999999999998E-3</v>
      </c>
      <c r="R342" s="185">
        <f t="shared" si="2"/>
        <v>6.8199999999999997E-2</v>
      </c>
      <c r="S342" s="185">
        <v>0</v>
      </c>
      <c r="T342" s="186">
        <f t="shared" si="3"/>
        <v>0</v>
      </c>
      <c r="AR342" s="131" t="s">
        <v>148</v>
      </c>
      <c r="AT342" s="131" t="s">
        <v>241</v>
      </c>
      <c r="AU342" s="131" t="s">
        <v>82</v>
      </c>
      <c r="AY342" s="90" t="s">
        <v>127</v>
      </c>
      <c r="BE342" s="187">
        <f t="shared" si="4"/>
        <v>0</v>
      </c>
      <c r="BF342" s="187">
        <f t="shared" si="5"/>
        <v>0</v>
      </c>
      <c r="BG342" s="187">
        <f t="shared" si="6"/>
        <v>0</v>
      </c>
      <c r="BH342" s="187">
        <f t="shared" si="7"/>
        <v>0</v>
      </c>
      <c r="BI342" s="187">
        <f t="shared" si="8"/>
        <v>0</v>
      </c>
      <c r="BJ342" s="90" t="s">
        <v>80</v>
      </c>
      <c r="BK342" s="187">
        <f t="shared" si="9"/>
        <v>0</v>
      </c>
      <c r="BL342" s="90" t="s">
        <v>131</v>
      </c>
      <c r="BM342" s="131" t="s">
        <v>347</v>
      </c>
    </row>
    <row r="343" spans="2:65" s="99" customFormat="1" ht="21.75" customHeight="1" x14ac:dyDescent="0.2">
      <c r="B343" s="98"/>
      <c r="C343" s="214">
        <v>66</v>
      </c>
      <c r="D343" s="214" t="s">
        <v>241</v>
      </c>
      <c r="E343" s="215" t="s">
        <v>348</v>
      </c>
      <c r="F343" s="216" t="s">
        <v>349</v>
      </c>
      <c r="G343" s="217" t="s">
        <v>196</v>
      </c>
      <c r="H343" s="218">
        <v>7</v>
      </c>
      <c r="I343" s="85"/>
      <c r="J343" s="219">
        <f t="shared" si="0"/>
        <v>0</v>
      </c>
      <c r="K343" s="220"/>
      <c r="L343" s="246"/>
      <c r="M343" s="221" t="s">
        <v>1</v>
      </c>
      <c r="N343" s="222" t="s">
        <v>38</v>
      </c>
      <c r="P343" s="185">
        <f t="shared" si="1"/>
        <v>0</v>
      </c>
      <c r="Q343" s="185">
        <v>6.1999999999999998E-3</v>
      </c>
      <c r="R343" s="185">
        <f t="shared" si="2"/>
        <v>4.3400000000000001E-2</v>
      </c>
      <c r="S343" s="185">
        <v>0</v>
      </c>
      <c r="T343" s="186">
        <f t="shared" si="3"/>
        <v>0</v>
      </c>
      <c r="AR343" s="131" t="s">
        <v>148</v>
      </c>
      <c r="AT343" s="131" t="s">
        <v>241</v>
      </c>
      <c r="AU343" s="131" t="s">
        <v>82</v>
      </c>
      <c r="AY343" s="90" t="s">
        <v>127</v>
      </c>
      <c r="BE343" s="187">
        <f t="shared" si="4"/>
        <v>0</v>
      </c>
      <c r="BF343" s="187">
        <f t="shared" si="5"/>
        <v>0</v>
      </c>
      <c r="BG343" s="187">
        <f t="shared" si="6"/>
        <v>0</v>
      </c>
      <c r="BH343" s="187">
        <f t="shared" si="7"/>
        <v>0</v>
      </c>
      <c r="BI343" s="187">
        <f t="shared" si="8"/>
        <v>0</v>
      </c>
      <c r="BJ343" s="90" t="s">
        <v>80</v>
      </c>
      <c r="BK343" s="187">
        <f t="shared" si="9"/>
        <v>0</v>
      </c>
      <c r="BL343" s="90" t="s">
        <v>131</v>
      </c>
      <c r="BM343" s="131" t="s">
        <v>350</v>
      </c>
    </row>
    <row r="344" spans="2:65" s="99" customFormat="1" ht="21.75" customHeight="1" x14ac:dyDescent="0.2">
      <c r="B344" s="98"/>
      <c r="C344" s="214">
        <v>67</v>
      </c>
      <c r="D344" s="214" t="s">
        <v>241</v>
      </c>
      <c r="E344" s="215" t="s">
        <v>351</v>
      </c>
      <c r="F344" s="216" t="s">
        <v>352</v>
      </c>
      <c r="G344" s="217" t="s">
        <v>196</v>
      </c>
      <c r="H344" s="218">
        <v>7</v>
      </c>
      <c r="I344" s="85"/>
      <c r="J344" s="219">
        <f t="shared" si="0"/>
        <v>0</v>
      </c>
      <c r="K344" s="220"/>
      <c r="L344" s="246"/>
      <c r="M344" s="221" t="s">
        <v>1</v>
      </c>
      <c r="N344" s="222" t="s">
        <v>38</v>
      </c>
      <c r="P344" s="185">
        <f t="shared" si="1"/>
        <v>0</v>
      </c>
      <c r="Q344" s="185">
        <v>6.1999999999999998E-3</v>
      </c>
      <c r="R344" s="185">
        <f t="shared" si="2"/>
        <v>4.3400000000000001E-2</v>
      </c>
      <c r="S344" s="185">
        <v>0</v>
      </c>
      <c r="T344" s="186">
        <f t="shared" si="3"/>
        <v>0</v>
      </c>
      <c r="AR344" s="131" t="s">
        <v>148</v>
      </c>
      <c r="AT344" s="131" t="s">
        <v>241</v>
      </c>
      <c r="AU344" s="131" t="s">
        <v>82</v>
      </c>
      <c r="AY344" s="90" t="s">
        <v>127</v>
      </c>
      <c r="BE344" s="187">
        <f t="shared" si="4"/>
        <v>0</v>
      </c>
      <c r="BF344" s="187">
        <f t="shared" si="5"/>
        <v>0</v>
      </c>
      <c r="BG344" s="187">
        <f t="shared" si="6"/>
        <v>0</v>
      </c>
      <c r="BH344" s="187">
        <f t="shared" si="7"/>
        <v>0</v>
      </c>
      <c r="BI344" s="187">
        <f t="shared" si="8"/>
        <v>0</v>
      </c>
      <c r="BJ344" s="90" t="s">
        <v>80</v>
      </c>
      <c r="BK344" s="187">
        <f t="shared" si="9"/>
        <v>0</v>
      </c>
      <c r="BL344" s="90" t="s">
        <v>131</v>
      </c>
      <c r="BM344" s="131" t="s">
        <v>353</v>
      </c>
    </row>
    <row r="345" spans="2:65" s="99" customFormat="1" ht="24.2" customHeight="1" x14ac:dyDescent="0.2">
      <c r="B345" s="98"/>
      <c r="C345" s="214">
        <v>68</v>
      </c>
      <c r="D345" s="214" t="s">
        <v>241</v>
      </c>
      <c r="E345" s="215" t="s">
        <v>354</v>
      </c>
      <c r="F345" s="216" t="s">
        <v>355</v>
      </c>
      <c r="G345" s="217" t="s">
        <v>196</v>
      </c>
      <c r="H345" s="218">
        <v>1</v>
      </c>
      <c r="I345" s="85"/>
      <c r="J345" s="219">
        <f t="shared" si="0"/>
        <v>0</v>
      </c>
      <c r="K345" s="220"/>
      <c r="L345" s="246"/>
      <c r="M345" s="221" t="s">
        <v>1</v>
      </c>
      <c r="N345" s="222" t="s">
        <v>38</v>
      </c>
      <c r="P345" s="185">
        <f t="shared" si="1"/>
        <v>0</v>
      </c>
      <c r="Q345" s="185">
        <v>7.7999999999999996E-3</v>
      </c>
      <c r="R345" s="185">
        <f t="shared" si="2"/>
        <v>7.7999999999999996E-3</v>
      </c>
      <c r="S345" s="185">
        <v>0</v>
      </c>
      <c r="T345" s="186">
        <f t="shared" si="3"/>
        <v>0</v>
      </c>
      <c r="AR345" s="131" t="s">
        <v>148</v>
      </c>
      <c r="AT345" s="131" t="s">
        <v>241</v>
      </c>
      <c r="AU345" s="131" t="s">
        <v>82</v>
      </c>
      <c r="AY345" s="90" t="s">
        <v>127</v>
      </c>
      <c r="BE345" s="187">
        <f t="shared" si="4"/>
        <v>0</v>
      </c>
      <c r="BF345" s="187">
        <f t="shared" si="5"/>
        <v>0</v>
      </c>
      <c r="BG345" s="187">
        <f t="shared" si="6"/>
        <v>0</v>
      </c>
      <c r="BH345" s="187">
        <f t="shared" si="7"/>
        <v>0</v>
      </c>
      <c r="BI345" s="187">
        <f t="shared" si="8"/>
        <v>0</v>
      </c>
      <c r="BJ345" s="90" t="s">
        <v>80</v>
      </c>
      <c r="BK345" s="187">
        <f t="shared" si="9"/>
        <v>0</v>
      </c>
      <c r="BL345" s="90" t="s">
        <v>131</v>
      </c>
      <c r="BM345" s="131" t="s">
        <v>356</v>
      </c>
    </row>
    <row r="346" spans="2:65" s="99" customFormat="1" ht="24.2" customHeight="1" x14ac:dyDescent="0.2">
      <c r="B346" s="98"/>
      <c r="C346" s="176">
        <v>69</v>
      </c>
      <c r="D346" s="176" t="s">
        <v>129</v>
      </c>
      <c r="E346" s="177" t="s">
        <v>357</v>
      </c>
      <c r="F346" s="178" t="s">
        <v>358</v>
      </c>
      <c r="G346" s="179" t="s">
        <v>196</v>
      </c>
      <c r="H346" s="180">
        <v>54</v>
      </c>
      <c r="I346" s="80"/>
      <c r="J346" s="181">
        <f t="shared" si="0"/>
        <v>0</v>
      </c>
      <c r="K346" s="182"/>
      <c r="L346" s="196"/>
      <c r="M346" s="183" t="s">
        <v>1</v>
      </c>
      <c r="N346" s="184" t="s">
        <v>38</v>
      </c>
      <c r="P346" s="185">
        <f t="shared" si="1"/>
        <v>0</v>
      </c>
      <c r="Q346" s="185">
        <v>1.67E-3</v>
      </c>
      <c r="R346" s="185">
        <f t="shared" si="2"/>
        <v>9.0179999999999996E-2</v>
      </c>
      <c r="S346" s="185">
        <v>0</v>
      </c>
      <c r="T346" s="186">
        <f t="shared" si="3"/>
        <v>0</v>
      </c>
      <c r="AR346" s="131" t="s">
        <v>131</v>
      </c>
      <c r="AT346" s="131" t="s">
        <v>129</v>
      </c>
      <c r="AU346" s="131" t="s">
        <v>82</v>
      </c>
      <c r="AY346" s="90" t="s">
        <v>127</v>
      </c>
      <c r="BE346" s="187">
        <f t="shared" si="4"/>
        <v>0</v>
      </c>
      <c r="BF346" s="187">
        <f t="shared" si="5"/>
        <v>0</v>
      </c>
      <c r="BG346" s="187">
        <f t="shared" si="6"/>
        <v>0</v>
      </c>
      <c r="BH346" s="187">
        <f t="shared" si="7"/>
        <v>0</v>
      </c>
      <c r="BI346" s="187">
        <f t="shared" si="8"/>
        <v>0</v>
      </c>
      <c r="BJ346" s="90" t="s">
        <v>80</v>
      </c>
      <c r="BK346" s="187">
        <f t="shared" si="9"/>
        <v>0</v>
      </c>
      <c r="BL346" s="90" t="s">
        <v>131</v>
      </c>
      <c r="BM346" s="131" t="s">
        <v>359</v>
      </c>
    </row>
    <row r="347" spans="2:65" s="189" customFormat="1" x14ac:dyDescent="0.2">
      <c r="B347" s="188"/>
      <c r="D347" s="190" t="s">
        <v>132</v>
      </c>
      <c r="E347" s="191" t="s">
        <v>1</v>
      </c>
      <c r="F347" s="192" t="s">
        <v>360</v>
      </c>
      <c r="H347" s="193">
        <v>54</v>
      </c>
      <c r="I347" s="82"/>
      <c r="L347" s="158"/>
      <c r="M347" s="194"/>
      <c r="T347" s="195"/>
      <c r="AT347" s="191" t="s">
        <v>132</v>
      </c>
      <c r="AU347" s="191" t="s">
        <v>82</v>
      </c>
      <c r="AV347" s="189" t="s">
        <v>82</v>
      </c>
      <c r="AW347" s="189" t="s">
        <v>30</v>
      </c>
      <c r="AX347" s="189" t="s">
        <v>72</v>
      </c>
      <c r="AY347" s="191" t="s">
        <v>127</v>
      </c>
    </row>
    <row r="348" spans="2:65" s="198" customFormat="1" x14ac:dyDescent="0.2">
      <c r="B348" s="197"/>
      <c r="D348" s="190" t="s">
        <v>132</v>
      </c>
      <c r="E348" s="199" t="s">
        <v>1</v>
      </c>
      <c r="F348" s="200" t="s">
        <v>133</v>
      </c>
      <c r="H348" s="201">
        <v>54</v>
      </c>
      <c r="I348" s="83"/>
      <c r="L348" s="202"/>
      <c r="M348" s="203"/>
      <c r="T348" s="204"/>
      <c r="AT348" s="199" t="s">
        <v>132</v>
      </c>
      <c r="AU348" s="199" t="s">
        <v>82</v>
      </c>
      <c r="AV348" s="198" t="s">
        <v>131</v>
      </c>
      <c r="AW348" s="198" t="s">
        <v>30</v>
      </c>
      <c r="AX348" s="198" t="s">
        <v>80</v>
      </c>
      <c r="AY348" s="199" t="s">
        <v>127</v>
      </c>
    </row>
    <row r="349" spans="2:65" s="99" customFormat="1" ht="33" customHeight="1" x14ac:dyDescent="0.2">
      <c r="B349" s="98"/>
      <c r="C349" s="214">
        <v>70</v>
      </c>
      <c r="D349" s="214" t="s">
        <v>241</v>
      </c>
      <c r="E349" s="215" t="s">
        <v>361</v>
      </c>
      <c r="F349" s="216" t="s">
        <v>362</v>
      </c>
      <c r="G349" s="217" t="s">
        <v>196</v>
      </c>
      <c r="H349" s="218">
        <v>12</v>
      </c>
      <c r="I349" s="85"/>
      <c r="J349" s="219">
        <f t="shared" ref="J349:J361" si="10">ROUND(I349*H349,2)</f>
        <v>0</v>
      </c>
      <c r="K349" s="220"/>
      <c r="L349" s="246"/>
      <c r="M349" s="221" t="s">
        <v>1</v>
      </c>
      <c r="N349" s="222" t="s">
        <v>38</v>
      </c>
      <c r="P349" s="185">
        <f t="shared" ref="P349:P361" si="11">O349*H349</f>
        <v>0</v>
      </c>
      <c r="Q349" s="185">
        <v>6.8999999999999999E-3</v>
      </c>
      <c r="R349" s="185">
        <f t="shared" ref="R349:R361" si="12">Q349*H349</f>
        <v>8.2799999999999999E-2</v>
      </c>
      <c r="S349" s="185">
        <v>0</v>
      </c>
      <c r="T349" s="186">
        <f t="shared" ref="T349:T361" si="13">S349*H349</f>
        <v>0</v>
      </c>
      <c r="AR349" s="131" t="s">
        <v>148</v>
      </c>
      <c r="AT349" s="131" t="s">
        <v>241</v>
      </c>
      <c r="AU349" s="131" t="s">
        <v>82</v>
      </c>
      <c r="AY349" s="90" t="s">
        <v>127</v>
      </c>
      <c r="BE349" s="187">
        <f t="shared" ref="BE349:BE361" si="14">IF(N349="základní",J349,0)</f>
        <v>0</v>
      </c>
      <c r="BF349" s="187">
        <f t="shared" ref="BF349:BF361" si="15">IF(N349="snížená",J349,0)</f>
        <v>0</v>
      </c>
      <c r="BG349" s="187">
        <f t="shared" ref="BG349:BG361" si="16">IF(N349="zákl. přenesená",J349,0)</f>
        <v>0</v>
      </c>
      <c r="BH349" s="187">
        <f t="shared" ref="BH349:BH361" si="17">IF(N349="sníž. přenesená",J349,0)</f>
        <v>0</v>
      </c>
      <c r="BI349" s="187">
        <f t="shared" ref="BI349:BI361" si="18">IF(N349="nulová",J349,0)</f>
        <v>0</v>
      </c>
      <c r="BJ349" s="90" t="s">
        <v>80</v>
      </c>
      <c r="BK349" s="187">
        <f t="shared" ref="BK349:BK361" si="19">ROUND(I349*H349,2)</f>
        <v>0</v>
      </c>
      <c r="BL349" s="90" t="s">
        <v>131</v>
      </c>
      <c r="BM349" s="131" t="s">
        <v>363</v>
      </c>
    </row>
    <row r="350" spans="2:65" s="99" customFormat="1" ht="24.2" customHeight="1" x14ac:dyDescent="0.2">
      <c r="B350" s="98"/>
      <c r="C350" s="214">
        <v>71</v>
      </c>
      <c r="D350" s="214" t="s">
        <v>241</v>
      </c>
      <c r="E350" s="215" t="s">
        <v>364</v>
      </c>
      <c r="F350" s="216" t="s">
        <v>365</v>
      </c>
      <c r="G350" s="217" t="s">
        <v>196</v>
      </c>
      <c r="H350" s="218">
        <v>12</v>
      </c>
      <c r="I350" s="85"/>
      <c r="J350" s="219">
        <f t="shared" si="10"/>
        <v>0</v>
      </c>
      <c r="K350" s="220"/>
      <c r="L350" s="246"/>
      <c r="M350" s="221" t="s">
        <v>1</v>
      </c>
      <c r="N350" s="222" t="s">
        <v>38</v>
      </c>
      <c r="P350" s="185">
        <f t="shared" si="11"/>
        <v>0</v>
      </c>
      <c r="Q350" s="185">
        <v>7.7000000000000002E-3</v>
      </c>
      <c r="R350" s="185">
        <f t="shared" si="12"/>
        <v>9.240000000000001E-2</v>
      </c>
      <c r="S350" s="185">
        <v>0</v>
      </c>
      <c r="T350" s="186">
        <f t="shared" si="13"/>
        <v>0</v>
      </c>
      <c r="AR350" s="131" t="s">
        <v>148</v>
      </c>
      <c r="AT350" s="131" t="s">
        <v>241</v>
      </c>
      <c r="AU350" s="131" t="s">
        <v>82</v>
      </c>
      <c r="AY350" s="90" t="s">
        <v>127</v>
      </c>
      <c r="BE350" s="187">
        <f t="shared" si="14"/>
        <v>0</v>
      </c>
      <c r="BF350" s="187">
        <f t="shared" si="15"/>
        <v>0</v>
      </c>
      <c r="BG350" s="187">
        <f t="shared" si="16"/>
        <v>0</v>
      </c>
      <c r="BH350" s="187">
        <f t="shared" si="17"/>
        <v>0</v>
      </c>
      <c r="BI350" s="187">
        <f t="shared" si="18"/>
        <v>0</v>
      </c>
      <c r="BJ350" s="90" t="s">
        <v>80</v>
      </c>
      <c r="BK350" s="187">
        <f t="shared" si="19"/>
        <v>0</v>
      </c>
      <c r="BL350" s="90" t="s">
        <v>131</v>
      </c>
      <c r="BM350" s="131" t="s">
        <v>366</v>
      </c>
    </row>
    <row r="351" spans="2:65" s="99" customFormat="1" ht="24.2" customHeight="1" x14ac:dyDescent="0.2">
      <c r="B351" s="98"/>
      <c r="C351" s="214">
        <v>72</v>
      </c>
      <c r="D351" s="214" t="s">
        <v>241</v>
      </c>
      <c r="E351" s="215" t="s">
        <v>367</v>
      </c>
      <c r="F351" s="216" t="s">
        <v>368</v>
      </c>
      <c r="G351" s="217" t="s">
        <v>196</v>
      </c>
      <c r="H351" s="218">
        <v>1</v>
      </c>
      <c r="I351" s="85"/>
      <c r="J351" s="219">
        <f t="shared" si="10"/>
        <v>0</v>
      </c>
      <c r="K351" s="220"/>
      <c r="L351" s="246"/>
      <c r="M351" s="221" t="s">
        <v>1</v>
      </c>
      <c r="N351" s="222" t="s">
        <v>38</v>
      </c>
      <c r="P351" s="185">
        <f t="shared" si="11"/>
        <v>0</v>
      </c>
      <c r="Q351" s="185">
        <v>1.5599999999999999E-2</v>
      </c>
      <c r="R351" s="185">
        <f t="shared" si="12"/>
        <v>1.5599999999999999E-2</v>
      </c>
      <c r="S351" s="185">
        <v>0</v>
      </c>
      <c r="T351" s="186">
        <f t="shared" si="13"/>
        <v>0</v>
      </c>
      <c r="AR351" s="131" t="s">
        <v>148</v>
      </c>
      <c r="AT351" s="131" t="s">
        <v>241</v>
      </c>
      <c r="AU351" s="131" t="s">
        <v>82</v>
      </c>
      <c r="AY351" s="90" t="s">
        <v>127</v>
      </c>
      <c r="BE351" s="187">
        <f t="shared" si="14"/>
        <v>0</v>
      </c>
      <c r="BF351" s="187">
        <f t="shared" si="15"/>
        <v>0</v>
      </c>
      <c r="BG351" s="187">
        <f t="shared" si="16"/>
        <v>0</v>
      </c>
      <c r="BH351" s="187">
        <f t="shared" si="17"/>
        <v>0</v>
      </c>
      <c r="BI351" s="187">
        <f t="shared" si="18"/>
        <v>0</v>
      </c>
      <c r="BJ351" s="90" t="s">
        <v>80</v>
      </c>
      <c r="BK351" s="187">
        <f t="shared" si="19"/>
        <v>0</v>
      </c>
      <c r="BL351" s="90" t="s">
        <v>131</v>
      </c>
      <c r="BM351" s="131" t="s">
        <v>369</v>
      </c>
    </row>
    <row r="352" spans="2:65" s="99" customFormat="1" ht="24.2" customHeight="1" x14ac:dyDescent="0.2">
      <c r="B352" s="98"/>
      <c r="C352" s="214">
        <v>73</v>
      </c>
      <c r="D352" s="214" t="s">
        <v>241</v>
      </c>
      <c r="E352" s="215" t="s">
        <v>370</v>
      </c>
      <c r="F352" s="216" t="s">
        <v>371</v>
      </c>
      <c r="G352" s="217" t="s">
        <v>196</v>
      </c>
      <c r="H352" s="218">
        <v>4</v>
      </c>
      <c r="I352" s="85"/>
      <c r="J352" s="219">
        <f t="shared" si="10"/>
        <v>0</v>
      </c>
      <c r="K352" s="220"/>
      <c r="L352" s="246"/>
      <c r="M352" s="221" t="s">
        <v>1</v>
      </c>
      <c r="N352" s="222" t="s">
        <v>38</v>
      </c>
      <c r="P352" s="185">
        <f t="shared" si="11"/>
        <v>0</v>
      </c>
      <c r="Q352" s="185">
        <v>8.3999999999999995E-3</v>
      </c>
      <c r="R352" s="185">
        <f t="shared" si="12"/>
        <v>3.3599999999999998E-2</v>
      </c>
      <c r="S352" s="185">
        <v>0</v>
      </c>
      <c r="T352" s="186">
        <f t="shared" si="13"/>
        <v>0</v>
      </c>
      <c r="AR352" s="131" t="s">
        <v>148</v>
      </c>
      <c r="AT352" s="131" t="s">
        <v>241</v>
      </c>
      <c r="AU352" s="131" t="s">
        <v>82</v>
      </c>
      <c r="AY352" s="90" t="s">
        <v>127</v>
      </c>
      <c r="BE352" s="187">
        <f t="shared" si="14"/>
        <v>0</v>
      </c>
      <c r="BF352" s="187">
        <f t="shared" si="15"/>
        <v>0</v>
      </c>
      <c r="BG352" s="187">
        <f t="shared" si="16"/>
        <v>0</v>
      </c>
      <c r="BH352" s="187">
        <f t="shared" si="17"/>
        <v>0</v>
      </c>
      <c r="BI352" s="187">
        <f t="shared" si="18"/>
        <v>0</v>
      </c>
      <c r="BJ352" s="90" t="s">
        <v>80</v>
      </c>
      <c r="BK352" s="187">
        <f t="shared" si="19"/>
        <v>0</v>
      </c>
      <c r="BL352" s="90" t="s">
        <v>131</v>
      </c>
      <c r="BM352" s="131" t="s">
        <v>372</v>
      </c>
    </row>
    <row r="353" spans="2:65" s="99" customFormat="1" ht="24.2" customHeight="1" x14ac:dyDescent="0.2">
      <c r="B353" s="98"/>
      <c r="C353" s="214">
        <v>74</v>
      </c>
      <c r="D353" s="214" t="s">
        <v>241</v>
      </c>
      <c r="E353" s="215" t="s">
        <v>373</v>
      </c>
      <c r="F353" s="216" t="s">
        <v>374</v>
      </c>
      <c r="G353" s="217" t="s">
        <v>196</v>
      </c>
      <c r="H353" s="218">
        <v>4</v>
      </c>
      <c r="I353" s="85"/>
      <c r="J353" s="219">
        <f t="shared" si="10"/>
        <v>0</v>
      </c>
      <c r="K353" s="220"/>
      <c r="L353" s="246"/>
      <c r="M353" s="221" t="s">
        <v>1</v>
      </c>
      <c r="N353" s="222" t="s">
        <v>38</v>
      </c>
      <c r="P353" s="185">
        <f t="shared" si="11"/>
        <v>0</v>
      </c>
      <c r="Q353" s="185">
        <v>8.3999999999999995E-3</v>
      </c>
      <c r="R353" s="185">
        <f t="shared" si="12"/>
        <v>3.3599999999999998E-2</v>
      </c>
      <c r="S353" s="185">
        <v>0</v>
      </c>
      <c r="T353" s="186">
        <f t="shared" si="13"/>
        <v>0</v>
      </c>
      <c r="AR353" s="131" t="s">
        <v>148</v>
      </c>
      <c r="AT353" s="131" t="s">
        <v>241</v>
      </c>
      <c r="AU353" s="131" t="s">
        <v>82</v>
      </c>
      <c r="AY353" s="90" t="s">
        <v>127</v>
      </c>
      <c r="BE353" s="187">
        <f t="shared" si="14"/>
        <v>0</v>
      </c>
      <c r="BF353" s="187">
        <f t="shared" si="15"/>
        <v>0</v>
      </c>
      <c r="BG353" s="187">
        <f t="shared" si="16"/>
        <v>0</v>
      </c>
      <c r="BH353" s="187">
        <f t="shared" si="17"/>
        <v>0</v>
      </c>
      <c r="BI353" s="187">
        <f t="shared" si="18"/>
        <v>0</v>
      </c>
      <c r="BJ353" s="90" t="s">
        <v>80</v>
      </c>
      <c r="BK353" s="187">
        <f t="shared" si="19"/>
        <v>0</v>
      </c>
      <c r="BL353" s="90" t="s">
        <v>131</v>
      </c>
      <c r="BM353" s="131" t="s">
        <v>375</v>
      </c>
    </row>
    <row r="354" spans="2:65" s="99" customFormat="1" ht="24.2" customHeight="1" x14ac:dyDescent="0.2">
      <c r="B354" s="98"/>
      <c r="C354" s="214">
        <v>75</v>
      </c>
      <c r="D354" s="214" t="s">
        <v>241</v>
      </c>
      <c r="E354" s="215" t="s">
        <v>376</v>
      </c>
      <c r="F354" s="216" t="s">
        <v>377</v>
      </c>
      <c r="G354" s="217" t="s">
        <v>196</v>
      </c>
      <c r="H354" s="218">
        <v>3</v>
      </c>
      <c r="I354" s="85"/>
      <c r="J354" s="219">
        <f t="shared" si="10"/>
        <v>0</v>
      </c>
      <c r="K354" s="220"/>
      <c r="L354" s="246"/>
      <c r="M354" s="221" t="s">
        <v>1</v>
      </c>
      <c r="N354" s="222" t="s">
        <v>38</v>
      </c>
      <c r="P354" s="185">
        <f t="shared" si="11"/>
        <v>0</v>
      </c>
      <c r="Q354" s="185">
        <v>9.5999999999999992E-3</v>
      </c>
      <c r="R354" s="185">
        <f t="shared" si="12"/>
        <v>2.8799999999999999E-2</v>
      </c>
      <c r="S354" s="185">
        <v>0</v>
      </c>
      <c r="T354" s="186">
        <f t="shared" si="13"/>
        <v>0</v>
      </c>
      <c r="AR354" s="131" t="s">
        <v>148</v>
      </c>
      <c r="AT354" s="131" t="s">
        <v>241</v>
      </c>
      <c r="AU354" s="131" t="s">
        <v>82</v>
      </c>
      <c r="AY354" s="90" t="s">
        <v>127</v>
      </c>
      <c r="BE354" s="187">
        <f t="shared" si="14"/>
        <v>0</v>
      </c>
      <c r="BF354" s="187">
        <f t="shared" si="15"/>
        <v>0</v>
      </c>
      <c r="BG354" s="187">
        <f t="shared" si="16"/>
        <v>0</v>
      </c>
      <c r="BH354" s="187">
        <f t="shared" si="17"/>
        <v>0</v>
      </c>
      <c r="BI354" s="187">
        <f t="shared" si="18"/>
        <v>0</v>
      </c>
      <c r="BJ354" s="90" t="s">
        <v>80</v>
      </c>
      <c r="BK354" s="187">
        <f t="shared" si="19"/>
        <v>0</v>
      </c>
      <c r="BL354" s="90" t="s">
        <v>131</v>
      </c>
      <c r="BM354" s="131" t="s">
        <v>378</v>
      </c>
    </row>
    <row r="355" spans="2:65" s="99" customFormat="1" ht="24.2" customHeight="1" x14ac:dyDescent="0.2">
      <c r="B355" s="98"/>
      <c r="C355" s="214">
        <v>76</v>
      </c>
      <c r="D355" s="214" t="s">
        <v>241</v>
      </c>
      <c r="E355" s="215" t="s">
        <v>379</v>
      </c>
      <c r="F355" s="216" t="s">
        <v>380</v>
      </c>
      <c r="G355" s="217" t="s">
        <v>196</v>
      </c>
      <c r="H355" s="218">
        <v>1</v>
      </c>
      <c r="I355" s="85"/>
      <c r="J355" s="219">
        <f t="shared" si="10"/>
        <v>0</v>
      </c>
      <c r="K355" s="220"/>
      <c r="L355" s="246"/>
      <c r="M355" s="221" t="s">
        <v>1</v>
      </c>
      <c r="N355" s="222" t="s">
        <v>38</v>
      </c>
      <c r="P355" s="185">
        <f t="shared" si="11"/>
        <v>0</v>
      </c>
      <c r="Q355" s="185">
        <v>1.09E-2</v>
      </c>
      <c r="R355" s="185">
        <f t="shared" si="12"/>
        <v>1.09E-2</v>
      </c>
      <c r="S355" s="185">
        <v>0</v>
      </c>
      <c r="T355" s="186">
        <f t="shared" si="13"/>
        <v>0</v>
      </c>
      <c r="AR355" s="131" t="s">
        <v>148</v>
      </c>
      <c r="AT355" s="131" t="s">
        <v>241</v>
      </c>
      <c r="AU355" s="131" t="s">
        <v>82</v>
      </c>
      <c r="AY355" s="90" t="s">
        <v>127</v>
      </c>
      <c r="BE355" s="187">
        <f t="shared" si="14"/>
        <v>0</v>
      </c>
      <c r="BF355" s="187">
        <f t="shared" si="15"/>
        <v>0</v>
      </c>
      <c r="BG355" s="187">
        <f t="shared" si="16"/>
        <v>0</v>
      </c>
      <c r="BH355" s="187">
        <f t="shared" si="17"/>
        <v>0</v>
      </c>
      <c r="BI355" s="187">
        <f t="shared" si="18"/>
        <v>0</v>
      </c>
      <c r="BJ355" s="90" t="s">
        <v>80</v>
      </c>
      <c r="BK355" s="187">
        <f t="shared" si="19"/>
        <v>0</v>
      </c>
      <c r="BL355" s="90" t="s">
        <v>131</v>
      </c>
      <c r="BM355" s="131" t="s">
        <v>381</v>
      </c>
    </row>
    <row r="356" spans="2:65" s="99" customFormat="1" ht="24.2" customHeight="1" x14ac:dyDescent="0.2">
      <c r="B356" s="98"/>
      <c r="C356" s="214">
        <v>77</v>
      </c>
      <c r="D356" s="214" t="s">
        <v>241</v>
      </c>
      <c r="E356" s="215" t="s">
        <v>382</v>
      </c>
      <c r="F356" s="216" t="s">
        <v>383</v>
      </c>
      <c r="G356" s="217" t="s">
        <v>196</v>
      </c>
      <c r="H356" s="218">
        <v>1</v>
      </c>
      <c r="I356" s="85"/>
      <c r="J356" s="219">
        <f t="shared" si="10"/>
        <v>0</v>
      </c>
      <c r="K356" s="220"/>
      <c r="L356" s="246"/>
      <c r="M356" s="221" t="s">
        <v>1</v>
      </c>
      <c r="N356" s="222" t="s">
        <v>38</v>
      </c>
      <c r="P356" s="185">
        <f t="shared" si="11"/>
        <v>0</v>
      </c>
      <c r="Q356" s="185">
        <v>1.4200000000000001E-2</v>
      </c>
      <c r="R356" s="185">
        <f t="shared" si="12"/>
        <v>1.4200000000000001E-2</v>
      </c>
      <c r="S356" s="185">
        <v>0</v>
      </c>
      <c r="T356" s="186">
        <f t="shared" si="13"/>
        <v>0</v>
      </c>
      <c r="AR356" s="131" t="s">
        <v>148</v>
      </c>
      <c r="AT356" s="131" t="s">
        <v>241</v>
      </c>
      <c r="AU356" s="131" t="s">
        <v>82</v>
      </c>
      <c r="AY356" s="90" t="s">
        <v>127</v>
      </c>
      <c r="BE356" s="187">
        <f t="shared" si="14"/>
        <v>0</v>
      </c>
      <c r="BF356" s="187">
        <f t="shared" si="15"/>
        <v>0</v>
      </c>
      <c r="BG356" s="187">
        <f t="shared" si="16"/>
        <v>0</v>
      </c>
      <c r="BH356" s="187">
        <f t="shared" si="17"/>
        <v>0</v>
      </c>
      <c r="BI356" s="187">
        <f t="shared" si="18"/>
        <v>0</v>
      </c>
      <c r="BJ356" s="90" t="s">
        <v>80</v>
      </c>
      <c r="BK356" s="187">
        <f t="shared" si="19"/>
        <v>0</v>
      </c>
      <c r="BL356" s="90" t="s">
        <v>131</v>
      </c>
      <c r="BM356" s="131" t="s">
        <v>384</v>
      </c>
    </row>
    <row r="357" spans="2:65" s="99" customFormat="1" ht="24.2" customHeight="1" x14ac:dyDescent="0.2">
      <c r="B357" s="98"/>
      <c r="C357" s="214">
        <v>78</v>
      </c>
      <c r="D357" s="214" t="s">
        <v>241</v>
      </c>
      <c r="E357" s="215" t="s">
        <v>385</v>
      </c>
      <c r="F357" s="216" t="s">
        <v>386</v>
      </c>
      <c r="G357" s="217" t="s">
        <v>196</v>
      </c>
      <c r="H357" s="218">
        <v>2</v>
      </c>
      <c r="I357" s="85"/>
      <c r="J357" s="219">
        <f t="shared" si="10"/>
        <v>0</v>
      </c>
      <c r="K357" s="220"/>
      <c r="L357" s="246"/>
      <c r="M357" s="221" t="s">
        <v>1</v>
      </c>
      <c r="N357" s="222" t="s">
        <v>38</v>
      </c>
      <c r="P357" s="185">
        <f t="shared" si="11"/>
        <v>0</v>
      </c>
      <c r="Q357" s="185">
        <v>1.11E-2</v>
      </c>
      <c r="R357" s="185">
        <f t="shared" si="12"/>
        <v>2.2200000000000001E-2</v>
      </c>
      <c r="S357" s="185">
        <v>0</v>
      </c>
      <c r="T357" s="186">
        <f t="shared" si="13"/>
        <v>0</v>
      </c>
      <c r="AR357" s="131" t="s">
        <v>148</v>
      </c>
      <c r="AT357" s="131" t="s">
        <v>241</v>
      </c>
      <c r="AU357" s="131" t="s">
        <v>82</v>
      </c>
      <c r="AY357" s="90" t="s">
        <v>127</v>
      </c>
      <c r="BE357" s="187">
        <f t="shared" si="14"/>
        <v>0</v>
      </c>
      <c r="BF357" s="187">
        <f t="shared" si="15"/>
        <v>0</v>
      </c>
      <c r="BG357" s="187">
        <f t="shared" si="16"/>
        <v>0</v>
      </c>
      <c r="BH357" s="187">
        <f t="shared" si="17"/>
        <v>0</v>
      </c>
      <c r="BI357" s="187">
        <f t="shared" si="18"/>
        <v>0</v>
      </c>
      <c r="BJ357" s="90" t="s">
        <v>80</v>
      </c>
      <c r="BK357" s="187">
        <f t="shared" si="19"/>
        <v>0</v>
      </c>
      <c r="BL357" s="90" t="s">
        <v>131</v>
      </c>
      <c r="BM357" s="131" t="s">
        <v>387</v>
      </c>
    </row>
    <row r="358" spans="2:65" s="99" customFormat="1" ht="24.2" customHeight="1" x14ac:dyDescent="0.2">
      <c r="B358" s="98"/>
      <c r="C358" s="214">
        <v>79</v>
      </c>
      <c r="D358" s="214" t="s">
        <v>241</v>
      </c>
      <c r="E358" s="215" t="s">
        <v>388</v>
      </c>
      <c r="F358" s="216" t="s">
        <v>389</v>
      </c>
      <c r="G358" s="217" t="s">
        <v>196</v>
      </c>
      <c r="H358" s="218">
        <v>3</v>
      </c>
      <c r="I358" s="85"/>
      <c r="J358" s="219">
        <f t="shared" si="10"/>
        <v>0</v>
      </c>
      <c r="K358" s="220"/>
      <c r="L358" s="246"/>
      <c r="M358" s="221" t="s">
        <v>1</v>
      </c>
      <c r="N358" s="222" t="s">
        <v>38</v>
      </c>
      <c r="P358" s="185">
        <f t="shared" si="11"/>
        <v>0</v>
      </c>
      <c r="Q358" s="185">
        <v>8.9999999999999993E-3</v>
      </c>
      <c r="R358" s="185">
        <f t="shared" si="12"/>
        <v>2.6999999999999996E-2</v>
      </c>
      <c r="S358" s="185">
        <v>0</v>
      </c>
      <c r="T358" s="186">
        <f t="shared" si="13"/>
        <v>0</v>
      </c>
      <c r="AR358" s="131" t="s">
        <v>148</v>
      </c>
      <c r="AT358" s="131" t="s">
        <v>241</v>
      </c>
      <c r="AU358" s="131" t="s">
        <v>82</v>
      </c>
      <c r="AY358" s="90" t="s">
        <v>127</v>
      </c>
      <c r="BE358" s="187">
        <f t="shared" si="14"/>
        <v>0</v>
      </c>
      <c r="BF358" s="187">
        <f t="shared" si="15"/>
        <v>0</v>
      </c>
      <c r="BG358" s="187">
        <f t="shared" si="16"/>
        <v>0</v>
      </c>
      <c r="BH358" s="187">
        <f t="shared" si="17"/>
        <v>0</v>
      </c>
      <c r="BI358" s="187">
        <f t="shared" si="18"/>
        <v>0</v>
      </c>
      <c r="BJ358" s="90" t="s">
        <v>80</v>
      </c>
      <c r="BK358" s="187">
        <f t="shared" si="19"/>
        <v>0</v>
      </c>
      <c r="BL358" s="90" t="s">
        <v>131</v>
      </c>
      <c r="BM358" s="131" t="s">
        <v>390</v>
      </c>
    </row>
    <row r="359" spans="2:65" s="99" customFormat="1" ht="24.2" customHeight="1" x14ac:dyDescent="0.2">
      <c r="B359" s="98"/>
      <c r="C359" s="214">
        <v>80</v>
      </c>
      <c r="D359" s="214" t="s">
        <v>241</v>
      </c>
      <c r="E359" s="215" t="s">
        <v>391</v>
      </c>
      <c r="F359" s="216" t="s">
        <v>392</v>
      </c>
      <c r="G359" s="217" t="s">
        <v>196</v>
      </c>
      <c r="H359" s="218">
        <v>10</v>
      </c>
      <c r="I359" s="85"/>
      <c r="J359" s="219">
        <f t="shared" si="10"/>
        <v>0</v>
      </c>
      <c r="K359" s="220"/>
      <c r="L359" s="246"/>
      <c r="M359" s="221" t="s">
        <v>1</v>
      </c>
      <c r="N359" s="222" t="s">
        <v>38</v>
      </c>
      <c r="P359" s="185">
        <f t="shared" si="11"/>
        <v>0</v>
      </c>
      <c r="Q359" s="185">
        <v>1.6E-2</v>
      </c>
      <c r="R359" s="185">
        <f t="shared" si="12"/>
        <v>0.16</v>
      </c>
      <c r="S359" s="185">
        <v>0</v>
      </c>
      <c r="T359" s="186">
        <f t="shared" si="13"/>
        <v>0</v>
      </c>
      <c r="AR359" s="131" t="s">
        <v>148</v>
      </c>
      <c r="AT359" s="131" t="s">
        <v>241</v>
      </c>
      <c r="AU359" s="131" t="s">
        <v>82</v>
      </c>
      <c r="AY359" s="90" t="s">
        <v>127</v>
      </c>
      <c r="BE359" s="187">
        <f t="shared" si="14"/>
        <v>0</v>
      </c>
      <c r="BF359" s="187">
        <f t="shared" si="15"/>
        <v>0</v>
      </c>
      <c r="BG359" s="187">
        <f t="shared" si="16"/>
        <v>0</v>
      </c>
      <c r="BH359" s="187">
        <f t="shared" si="17"/>
        <v>0</v>
      </c>
      <c r="BI359" s="187">
        <f t="shared" si="18"/>
        <v>0</v>
      </c>
      <c r="BJ359" s="90" t="s">
        <v>80</v>
      </c>
      <c r="BK359" s="187">
        <f t="shared" si="19"/>
        <v>0</v>
      </c>
      <c r="BL359" s="90" t="s">
        <v>131</v>
      </c>
      <c r="BM359" s="131" t="s">
        <v>393</v>
      </c>
    </row>
    <row r="360" spans="2:65" s="99" customFormat="1" ht="24.2" customHeight="1" x14ac:dyDescent="0.2">
      <c r="B360" s="98"/>
      <c r="C360" s="214">
        <v>81</v>
      </c>
      <c r="D360" s="214" t="s">
        <v>241</v>
      </c>
      <c r="E360" s="215" t="s">
        <v>394</v>
      </c>
      <c r="F360" s="216" t="s">
        <v>395</v>
      </c>
      <c r="G360" s="217" t="s">
        <v>196</v>
      </c>
      <c r="H360" s="218">
        <v>1</v>
      </c>
      <c r="I360" s="85"/>
      <c r="J360" s="219">
        <f t="shared" si="10"/>
        <v>0</v>
      </c>
      <c r="K360" s="220"/>
      <c r="L360" s="246"/>
      <c r="M360" s="221" t="s">
        <v>1</v>
      </c>
      <c r="N360" s="222" t="s">
        <v>38</v>
      </c>
      <c r="P360" s="185">
        <f t="shared" si="11"/>
        <v>0</v>
      </c>
      <c r="Q360" s="185">
        <v>1.2200000000000001E-2</v>
      </c>
      <c r="R360" s="185">
        <f t="shared" si="12"/>
        <v>1.2200000000000001E-2</v>
      </c>
      <c r="S360" s="185">
        <v>0</v>
      </c>
      <c r="T360" s="186">
        <f t="shared" si="13"/>
        <v>0</v>
      </c>
      <c r="AR360" s="131" t="s">
        <v>148</v>
      </c>
      <c r="AT360" s="131" t="s">
        <v>241</v>
      </c>
      <c r="AU360" s="131" t="s">
        <v>82</v>
      </c>
      <c r="AY360" s="90" t="s">
        <v>127</v>
      </c>
      <c r="BE360" s="187">
        <f t="shared" si="14"/>
        <v>0</v>
      </c>
      <c r="BF360" s="187">
        <f t="shared" si="15"/>
        <v>0</v>
      </c>
      <c r="BG360" s="187">
        <f t="shared" si="16"/>
        <v>0</v>
      </c>
      <c r="BH360" s="187">
        <f t="shared" si="17"/>
        <v>0</v>
      </c>
      <c r="BI360" s="187">
        <f t="shared" si="18"/>
        <v>0</v>
      </c>
      <c r="BJ360" s="90" t="s">
        <v>80</v>
      </c>
      <c r="BK360" s="187">
        <f t="shared" si="19"/>
        <v>0</v>
      </c>
      <c r="BL360" s="90" t="s">
        <v>131</v>
      </c>
      <c r="BM360" s="131" t="s">
        <v>396</v>
      </c>
    </row>
    <row r="361" spans="2:65" s="99" customFormat="1" ht="24.2" customHeight="1" x14ac:dyDescent="0.2">
      <c r="B361" s="98"/>
      <c r="C361" s="176">
        <v>82</v>
      </c>
      <c r="D361" s="176" t="s">
        <v>129</v>
      </c>
      <c r="E361" s="177" t="s">
        <v>397</v>
      </c>
      <c r="F361" s="178" t="s">
        <v>398</v>
      </c>
      <c r="G361" s="179" t="s">
        <v>196</v>
      </c>
      <c r="H361" s="180">
        <v>7</v>
      </c>
      <c r="I361" s="80"/>
      <c r="J361" s="181">
        <f t="shared" si="10"/>
        <v>0</v>
      </c>
      <c r="K361" s="182"/>
      <c r="L361" s="196"/>
      <c r="M361" s="183" t="s">
        <v>1</v>
      </c>
      <c r="N361" s="184" t="s">
        <v>38</v>
      </c>
      <c r="P361" s="185">
        <f t="shared" si="11"/>
        <v>0</v>
      </c>
      <c r="Q361" s="185">
        <v>1.7099999999999999E-3</v>
      </c>
      <c r="R361" s="185">
        <f t="shared" si="12"/>
        <v>1.197E-2</v>
      </c>
      <c r="S361" s="185">
        <v>0</v>
      </c>
      <c r="T361" s="186">
        <f t="shared" si="13"/>
        <v>0</v>
      </c>
      <c r="AR361" s="131" t="s">
        <v>131</v>
      </c>
      <c r="AT361" s="131" t="s">
        <v>129</v>
      </c>
      <c r="AU361" s="131" t="s">
        <v>82</v>
      </c>
      <c r="AY361" s="90" t="s">
        <v>127</v>
      </c>
      <c r="BE361" s="187">
        <f t="shared" si="14"/>
        <v>0</v>
      </c>
      <c r="BF361" s="187">
        <f t="shared" si="15"/>
        <v>0</v>
      </c>
      <c r="BG361" s="187">
        <f t="shared" si="16"/>
        <v>0</v>
      </c>
      <c r="BH361" s="187">
        <f t="shared" si="17"/>
        <v>0</v>
      </c>
      <c r="BI361" s="187">
        <f t="shared" si="18"/>
        <v>0</v>
      </c>
      <c r="BJ361" s="90" t="s">
        <v>80</v>
      </c>
      <c r="BK361" s="187">
        <f t="shared" si="19"/>
        <v>0</v>
      </c>
      <c r="BL361" s="90" t="s">
        <v>131</v>
      </c>
      <c r="BM361" s="131" t="s">
        <v>399</v>
      </c>
    </row>
    <row r="362" spans="2:65" s="189" customFormat="1" x14ac:dyDescent="0.2">
      <c r="B362" s="188"/>
      <c r="D362" s="190" t="s">
        <v>132</v>
      </c>
      <c r="E362" s="191" t="s">
        <v>1</v>
      </c>
      <c r="F362" s="192" t="s">
        <v>400</v>
      </c>
      <c r="H362" s="193">
        <v>7</v>
      </c>
      <c r="I362" s="82"/>
      <c r="L362" s="158"/>
      <c r="M362" s="194"/>
      <c r="T362" s="195"/>
      <c r="AT362" s="191" t="s">
        <v>132</v>
      </c>
      <c r="AU362" s="191" t="s">
        <v>82</v>
      </c>
      <c r="AV362" s="189" t="s">
        <v>82</v>
      </c>
      <c r="AW362" s="189" t="s">
        <v>30</v>
      </c>
      <c r="AX362" s="189" t="s">
        <v>72</v>
      </c>
      <c r="AY362" s="191" t="s">
        <v>127</v>
      </c>
    </row>
    <row r="363" spans="2:65" s="198" customFormat="1" x14ac:dyDescent="0.2">
      <c r="B363" s="197"/>
      <c r="D363" s="190" t="s">
        <v>132</v>
      </c>
      <c r="E363" s="199" t="s">
        <v>1</v>
      </c>
      <c r="F363" s="200" t="s">
        <v>133</v>
      </c>
      <c r="H363" s="201">
        <v>7</v>
      </c>
      <c r="I363" s="83"/>
      <c r="L363" s="202"/>
      <c r="M363" s="203"/>
      <c r="T363" s="204"/>
      <c r="AT363" s="199" t="s">
        <v>132</v>
      </c>
      <c r="AU363" s="199" t="s">
        <v>82</v>
      </c>
      <c r="AV363" s="198" t="s">
        <v>131</v>
      </c>
      <c r="AW363" s="198" t="s">
        <v>30</v>
      </c>
      <c r="AX363" s="198" t="s">
        <v>80</v>
      </c>
      <c r="AY363" s="199" t="s">
        <v>127</v>
      </c>
    </row>
    <row r="364" spans="2:65" s="99" customFormat="1" ht="24.2" customHeight="1" x14ac:dyDescent="0.2">
      <c r="B364" s="98"/>
      <c r="C364" s="214">
        <v>83</v>
      </c>
      <c r="D364" s="214" t="s">
        <v>241</v>
      </c>
      <c r="E364" s="215" t="s">
        <v>401</v>
      </c>
      <c r="F364" s="216" t="s">
        <v>402</v>
      </c>
      <c r="G364" s="217" t="s">
        <v>196</v>
      </c>
      <c r="H364" s="218">
        <v>1</v>
      </c>
      <c r="I364" s="85"/>
      <c r="J364" s="219">
        <f>ROUND(I364*H364,2)</f>
        <v>0</v>
      </c>
      <c r="K364" s="220"/>
      <c r="L364" s="246"/>
      <c r="M364" s="221" t="s">
        <v>1</v>
      </c>
      <c r="N364" s="222" t="s">
        <v>38</v>
      </c>
      <c r="P364" s="185">
        <f>O364*H364</f>
        <v>0</v>
      </c>
      <c r="Q364" s="185">
        <v>2.5000000000000001E-2</v>
      </c>
      <c r="R364" s="185">
        <f>Q364*H364</f>
        <v>2.5000000000000001E-2</v>
      </c>
      <c r="S364" s="185">
        <v>0</v>
      </c>
      <c r="T364" s="186">
        <f>S364*H364</f>
        <v>0</v>
      </c>
      <c r="AR364" s="131" t="s">
        <v>148</v>
      </c>
      <c r="AT364" s="131" t="s">
        <v>241</v>
      </c>
      <c r="AU364" s="131" t="s">
        <v>82</v>
      </c>
      <c r="AY364" s="90" t="s">
        <v>127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90" t="s">
        <v>80</v>
      </c>
      <c r="BK364" s="187">
        <f>ROUND(I364*H364,2)</f>
        <v>0</v>
      </c>
      <c r="BL364" s="90" t="s">
        <v>131</v>
      </c>
      <c r="BM364" s="131" t="s">
        <v>403</v>
      </c>
    </row>
    <row r="365" spans="2:65" s="99" customFormat="1" ht="21.75" customHeight="1" x14ac:dyDescent="0.2">
      <c r="B365" s="98"/>
      <c r="C365" s="214">
        <v>84</v>
      </c>
      <c r="D365" s="214" t="s">
        <v>241</v>
      </c>
      <c r="E365" s="215" t="s">
        <v>404</v>
      </c>
      <c r="F365" s="216" t="s">
        <v>405</v>
      </c>
      <c r="G365" s="217" t="s">
        <v>196</v>
      </c>
      <c r="H365" s="218">
        <v>6</v>
      </c>
      <c r="I365" s="85"/>
      <c r="J365" s="219">
        <f>ROUND(I365*H365,2)</f>
        <v>0</v>
      </c>
      <c r="K365" s="220"/>
      <c r="L365" s="246"/>
      <c r="M365" s="221" t="s">
        <v>1</v>
      </c>
      <c r="N365" s="222" t="s">
        <v>38</v>
      </c>
      <c r="P365" s="185">
        <f>O365*H365</f>
        <v>0</v>
      </c>
      <c r="Q365" s="185">
        <v>1.5599999999999999E-2</v>
      </c>
      <c r="R365" s="185">
        <f>Q365*H365</f>
        <v>9.3599999999999989E-2</v>
      </c>
      <c r="S365" s="185">
        <v>0</v>
      </c>
      <c r="T365" s="186">
        <f>S365*H365</f>
        <v>0</v>
      </c>
      <c r="AR365" s="131" t="s">
        <v>148</v>
      </c>
      <c r="AT365" s="131" t="s">
        <v>241</v>
      </c>
      <c r="AU365" s="131" t="s">
        <v>82</v>
      </c>
      <c r="AY365" s="90" t="s">
        <v>127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90" t="s">
        <v>80</v>
      </c>
      <c r="BK365" s="187">
        <f>ROUND(I365*H365,2)</f>
        <v>0</v>
      </c>
      <c r="BL365" s="90" t="s">
        <v>131</v>
      </c>
      <c r="BM365" s="131" t="s">
        <v>406</v>
      </c>
    </row>
    <row r="366" spans="2:65" s="99" customFormat="1" ht="24.2" customHeight="1" x14ac:dyDescent="0.2">
      <c r="B366" s="98"/>
      <c r="C366" s="176">
        <v>85</v>
      </c>
      <c r="D366" s="176" t="s">
        <v>129</v>
      </c>
      <c r="E366" s="177" t="s">
        <v>407</v>
      </c>
      <c r="F366" s="178" t="s">
        <v>408</v>
      </c>
      <c r="G366" s="179" t="s">
        <v>196</v>
      </c>
      <c r="H366" s="180">
        <v>45</v>
      </c>
      <c r="I366" s="80"/>
      <c r="J366" s="181">
        <f>ROUND(I366*H366,2)</f>
        <v>0</v>
      </c>
      <c r="K366" s="182"/>
      <c r="L366" s="196"/>
      <c r="M366" s="183" t="s">
        <v>1</v>
      </c>
      <c r="N366" s="184" t="s">
        <v>38</v>
      </c>
      <c r="P366" s="185">
        <f>O366*H366</f>
        <v>0</v>
      </c>
      <c r="Q366" s="185">
        <v>0</v>
      </c>
      <c r="R366" s="185">
        <f>Q366*H366</f>
        <v>0</v>
      </c>
      <c r="S366" s="185">
        <v>0</v>
      </c>
      <c r="T366" s="186">
        <f>S366*H366</f>
        <v>0</v>
      </c>
      <c r="AR366" s="131" t="s">
        <v>131</v>
      </c>
      <c r="AT366" s="131" t="s">
        <v>129</v>
      </c>
      <c r="AU366" s="131" t="s">
        <v>82</v>
      </c>
      <c r="AY366" s="90" t="s">
        <v>127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90" t="s">
        <v>80</v>
      </c>
      <c r="BK366" s="187">
        <f>ROUND(I366*H366,2)</f>
        <v>0</v>
      </c>
      <c r="BL366" s="90" t="s">
        <v>131</v>
      </c>
      <c r="BM366" s="131" t="s">
        <v>409</v>
      </c>
    </row>
    <row r="367" spans="2:65" s="189" customFormat="1" x14ac:dyDescent="0.2">
      <c r="B367" s="188"/>
      <c r="D367" s="190" t="s">
        <v>132</v>
      </c>
      <c r="E367" s="191" t="s">
        <v>1</v>
      </c>
      <c r="F367" s="192" t="s">
        <v>410</v>
      </c>
      <c r="H367" s="193">
        <v>45</v>
      </c>
      <c r="I367" s="82"/>
      <c r="L367" s="158"/>
      <c r="M367" s="194"/>
      <c r="T367" s="195"/>
      <c r="AT367" s="191" t="s">
        <v>132</v>
      </c>
      <c r="AU367" s="191" t="s">
        <v>82</v>
      </c>
      <c r="AV367" s="189" t="s">
        <v>82</v>
      </c>
      <c r="AW367" s="189" t="s">
        <v>30</v>
      </c>
      <c r="AX367" s="189" t="s">
        <v>72</v>
      </c>
      <c r="AY367" s="191" t="s">
        <v>127</v>
      </c>
    </row>
    <row r="368" spans="2:65" s="198" customFormat="1" x14ac:dyDescent="0.2">
      <c r="B368" s="197"/>
      <c r="D368" s="190" t="s">
        <v>132</v>
      </c>
      <c r="E368" s="199" t="s">
        <v>1</v>
      </c>
      <c r="F368" s="200" t="s">
        <v>133</v>
      </c>
      <c r="H368" s="201">
        <v>45</v>
      </c>
      <c r="I368" s="83"/>
      <c r="L368" s="202"/>
      <c r="M368" s="203"/>
      <c r="T368" s="204"/>
      <c r="AT368" s="199" t="s">
        <v>132</v>
      </c>
      <c r="AU368" s="199" t="s">
        <v>82</v>
      </c>
      <c r="AV368" s="198" t="s">
        <v>131</v>
      </c>
      <c r="AW368" s="198" t="s">
        <v>30</v>
      </c>
      <c r="AX368" s="198" t="s">
        <v>80</v>
      </c>
      <c r="AY368" s="199" t="s">
        <v>127</v>
      </c>
    </row>
    <row r="369" spans="2:65" s="99" customFormat="1" ht="24.2" customHeight="1" x14ac:dyDescent="0.2">
      <c r="B369" s="98"/>
      <c r="C369" s="214">
        <v>86</v>
      </c>
      <c r="D369" s="214" t="s">
        <v>241</v>
      </c>
      <c r="E369" s="215" t="s">
        <v>411</v>
      </c>
      <c r="F369" s="216" t="s">
        <v>412</v>
      </c>
      <c r="G369" s="217" t="s">
        <v>196</v>
      </c>
      <c r="H369" s="218">
        <v>17</v>
      </c>
      <c r="I369" s="85"/>
      <c r="J369" s="219">
        <f t="shared" ref="J369:J376" si="20">ROUND(I369*H369,2)</f>
        <v>0</v>
      </c>
      <c r="K369" s="220"/>
      <c r="L369" s="246"/>
      <c r="M369" s="221" t="s">
        <v>1</v>
      </c>
      <c r="N369" s="222" t="s">
        <v>38</v>
      </c>
      <c r="P369" s="185">
        <f t="shared" ref="P369:P376" si="21">O369*H369</f>
        <v>0</v>
      </c>
      <c r="Q369" s="185">
        <v>8.8000000000000005E-3</v>
      </c>
      <c r="R369" s="185">
        <f t="shared" ref="R369:R376" si="22">Q369*H369</f>
        <v>0.14960000000000001</v>
      </c>
      <c r="S369" s="185">
        <v>0</v>
      </c>
      <c r="T369" s="186">
        <f t="shared" ref="T369:T376" si="23">S369*H369</f>
        <v>0</v>
      </c>
      <c r="AR369" s="131" t="s">
        <v>148</v>
      </c>
      <c r="AT369" s="131" t="s">
        <v>241</v>
      </c>
      <c r="AU369" s="131" t="s">
        <v>82</v>
      </c>
      <c r="AY369" s="90" t="s">
        <v>127</v>
      </c>
      <c r="BE369" s="187">
        <f t="shared" ref="BE369:BE376" si="24">IF(N369="základní",J369,0)</f>
        <v>0</v>
      </c>
      <c r="BF369" s="187">
        <f t="shared" ref="BF369:BF376" si="25">IF(N369="snížená",J369,0)</f>
        <v>0</v>
      </c>
      <c r="BG369" s="187">
        <f t="shared" ref="BG369:BG376" si="26">IF(N369="zákl. přenesená",J369,0)</f>
        <v>0</v>
      </c>
      <c r="BH369" s="187">
        <f t="shared" ref="BH369:BH376" si="27">IF(N369="sníž. přenesená",J369,0)</f>
        <v>0</v>
      </c>
      <c r="BI369" s="187">
        <f t="shared" ref="BI369:BI376" si="28">IF(N369="nulová",J369,0)</f>
        <v>0</v>
      </c>
      <c r="BJ369" s="90" t="s">
        <v>80</v>
      </c>
      <c r="BK369" s="187">
        <f t="shared" ref="BK369:BK376" si="29">ROUND(I369*H369,2)</f>
        <v>0</v>
      </c>
      <c r="BL369" s="90" t="s">
        <v>131</v>
      </c>
      <c r="BM369" s="131" t="s">
        <v>413</v>
      </c>
    </row>
    <row r="370" spans="2:65" s="99" customFormat="1" ht="24.2" customHeight="1" x14ac:dyDescent="0.2">
      <c r="B370" s="98"/>
      <c r="C370" s="214">
        <v>87</v>
      </c>
      <c r="D370" s="214" t="s">
        <v>241</v>
      </c>
      <c r="E370" s="215" t="s">
        <v>414</v>
      </c>
      <c r="F370" s="216" t="s">
        <v>415</v>
      </c>
      <c r="G370" s="217" t="s">
        <v>196</v>
      </c>
      <c r="H370" s="218">
        <v>11</v>
      </c>
      <c r="I370" s="85"/>
      <c r="J370" s="219">
        <f t="shared" si="20"/>
        <v>0</v>
      </c>
      <c r="K370" s="220"/>
      <c r="L370" s="246"/>
      <c r="M370" s="221" t="s">
        <v>1</v>
      </c>
      <c r="N370" s="222" t="s">
        <v>38</v>
      </c>
      <c r="P370" s="185">
        <f t="shared" si="21"/>
        <v>0</v>
      </c>
      <c r="Q370" s="185">
        <v>8.8000000000000005E-3</v>
      </c>
      <c r="R370" s="185">
        <f t="shared" si="22"/>
        <v>9.6800000000000011E-2</v>
      </c>
      <c r="S370" s="185">
        <v>0</v>
      </c>
      <c r="T370" s="186">
        <f t="shared" si="23"/>
        <v>0</v>
      </c>
      <c r="AR370" s="131" t="s">
        <v>148</v>
      </c>
      <c r="AT370" s="131" t="s">
        <v>241</v>
      </c>
      <c r="AU370" s="131" t="s">
        <v>82</v>
      </c>
      <c r="AY370" s="90" t="s">
        <v>127</v>
      </c>
      <c r="BE370" s="187">
        <f t="shared" si="24"/>
        <v>0</v>
      </c>
      <c r="BF370" s="187">
        <f t="shared" si="25"/>
        <v>0</v>
      </c>
      <c r="BG370" s="187">
        <f t="shared" si="26"/>
        <v>0</v>
      </c>
      <c r="BH370" s="187">
        <f t="shared" si="27"/>
        <v>0</v>
      </c>
      <c r="BI370" s="187">
        <f t="shared" si="28"/>
        <v>0</v>
      </c>
      <c r="BJ370" s="90" t="s">
        <v>80</v>
      </c>
      <c r="BK370" s="187">
        <f t="shared" si="29"/>
        <v>0</v>
      </c>
      <c r="BL370" s="90" t="s">
        <v>131</v>
      </c>
      <c r="BM370" s="131" t="s">
        <v>416</v>
      </c>
    </row>
    <row r="371" spans="2:65" s="99" customFormat="1" ht="24.2" customHeight="1" x14ac:dyDescent="0.2">
      <c r="B371" s="98"/>
      <c r="C371" s="214">
        <v>88</v>
      </c>
      <c r="D371" s="214" t="s">
        <v>241</v>
      </c>
      <c r="E371" s="215" t="s">
        <v>417</v>
      </c>
      <c r="F371" s="216" t="s">
        <v>418</v>
      </c>
      <c r="G371" s="217" t="s">
        <v>196</v>
      </c>
      <c r="H371" s="218">
        <v>7</v>
      </c>
      <c r="I371" s="85"/>
      <c r="J371" s="219">
        <f t="shared" si="20"/>
        <v>0</v>
      </c>
      <c r="K371" s="220"/>
      <c r="L371" s="246"/>
      <c r="M371" s="221" t="s">
        <v>1</v>
      </c>
      <c r="N371" s="222" t="s">
        <v>38</v>
      </c>
      <c r="P371" s="185">
        <f t="shared" si="21"/>
        <v>0</v>
      </c>
      <c r="Q371" s="185">
        <v>8.8000000000000005E-3</v>
      </c>
      <c r="R371" s="185">
        <f t="shared" si="22"/>
        <v>6.1600000000000002E-2</v>
      </c>
      <c r="S371" s="185">
        <v>0</v>
      </c>
      <c r="T371" s="186">
        <f t="shared" si="23"/>
        <v>0</v>
      </c>
      <c r="AR371" s="131" t="s">
        <v>148</v>
      </c>
      <c r="AT371" s="131" t="s">
        <v>241</v>
      </c>
      <c r="AU371" s="131" t="s">
        <v>82</v>
      </c>
      <c r="AY371" s="90" t="s">
        <v>127</v>
      </c>
      <c r="BE371" s="187">
        <f t="shared" si="24"/>
        <v>0</v>
      </c>
      <c r="BF371" s="187">
        <f t="shared" si="25"/>
        <v>0</v>
      </c>
      <c r="BG371" s="187">
        <f t="shared" si="26"/>
        <v>0</v>
      </c>
      <c r="BH371" s="187">
        <f t="shared" si="27"/>
        <v>0</v>
      </c>
      <c r="BI371" s="187">
        <f t="shared" si="28"/>
        <v>0</v>
      </c>
      <c r="BJ371" s="90" t="s">
        <v>80</v>
      </c>
      <c r="BK371" s="187">
        <f t="shared" si="29"/>
        <v>0</v>
      </c>
      <c r="BL371" s="90" t="s">
        <v>131</v>
      </c>
      <c r="BM371" s="131" t="s">
        <v>419</v>
      </c>
    </row>
    <row r="372" spans="2:65" s="99" customFormat="1" ht="24.2" customHeight="1" x14ac:dyDescent="0.2">
      <c r="B372" s="98"/>
      <c r="C372" s="214">
        <v>89</v>
      </c>
      <c r="D372" s="214" t="s">
        <v>241</v>
      </c>
      <c r="E372" s="215" t="s">
        <v>420</v>
      </c>
      <c r="F372" s="216" t="s">
        <v>421</v>
      </c>
      <c r="G372" s="217" t="s">
        <v>196</v>
      </c>
      <c r="H372" s="218">
        <v>7</v>
      </c>
      <c r="I372" s="85"/>
      <c r="J372" s="219">
        <f t="shared" si="20"/>
        <v>0</v>
      </c>
      <c r="K372" s="220"/>
      <c r="L372" s="246"/>
      <c r="M372" s="221" t="s">
        <v>1</v>
      </c>
      <c r="N372" s="222" t="s">
        <v>38</v>
      </c>
      <c r="P372" s="185">
        <f t="shared" si="21"/>
        <v>0</v>
      </c>
      <c r="Q372" s="185">
        <v>8.8000000000000005E-3</v>
      </c>
      <c r="R372" s="185">
        <f t="shared" si="22"/>
        <v>6.1600000000000002E-2</v>
      </c>
      <c r="S372" s="185">
        <v>0</v>
      </c>
      <c r="T372" s="186">
        <f t="shared" si="23"/>
        <v>0</v>
      </c>
      <c r="AR372" s="131" t="s">
        <v>148</v>
      </c>
      <c r="AT372" s="131" t="s">
        <v>241</v>
      </c>
      <c r="AU372" s="131" t="s">
        <v>82</v>
      </c>
      <c r="AY372" s="90" t="s">
        <v>127</v>
      </c>
      <c r="BE372" s="187">
        <f t="shared" si="24"/>
        <v>0</v>
      </c>
      <c r="BF372" s="187">
        <f t="shared" si="25"/>
        <v>0</v>
      </c>
      <c r="BG372" s="187">
        <f t="shared" si="26"/>
        <v>0</v>
      </c>
      <c r="BH372" s="187">
        <f t="shared" si="27"/>
        <v>0</v>
      </c>
      <c r="BI372" s="187">
        <f t="shared" si="28"/>
        <v>0</v>
      </c>
      <c r="BJ372" s="90" t="s">
        <v>80</v>
      </c>
      <c r="BK372" s="187">
        <f t="shared" si="29"/>
        <v>0</v>
      </c>
      <c r="BL372" s="90" t="s">
        <v>131</v>
      </c>
      <c r="BM372" s="131" t="s">
        <v>422</v>
      </c>
    </row>
    <row r="373" spans="2:65" s="99" customFormat="1" ht="24.2" customHeight="1" x14ac:dyDescent="0.2">
      <c r="B373" s="98"/>
      <c r="C373" s="214">
        <v>90</v>
      </c>
      <c r="D373" s="214" t="s">
        <v>241</v>
      </c>
      <c r="E373" s="215" t="s">
        <v>423</v>
      </c>
      <c r="F373" s="216" t="s">
        <v>424</v>
      </c>
      <c r="G373" s="217" t="s">
        <v>196</v>
      </c>
      <c r="H373" s="218">
        <v>2</v>
      </c>
      <c r="I373" s="85"/>
      <c r="J373" s="219">
        <f t="shared" si="20"/>
        <v>0</v>
      </c>
      <c r="K373" s="220"/>
      <c r="L373" s="246"/>
      <c r="M373" s="221" t="s">
        <v>1</v>
      </c>
      <c r="N373" s="222" t="s">
        <v>38</v>
      </c>
      <c r="P373" s="185">
        <f t="shared" si="21"/>
        <v>0</v>
      </c>
      <c r="Q373" s="185">
        <v>1.0800000000000001E-2</v>
      </c>
      <c r="R373" s="185">
        <f t="shared" si="22"/>
        <v>2.1600000000000001E-2</v>
      </c>
      <c r="S373" s="185">
        <v>0</v>
      </c>
      <c r="T373" s="186">
        <f t="shared" si="23"/>
        <v>0</v>
      </c>
      <c r="AR373" s="131" t="s">
        <v>148</v>
      </c>
      <c r="AT373" s="131" t="s">
        <v>241</v>
      </c>
      <c r="AU373" s="131" t="s">
        <v>82</v>
      </c>
      <c r="AY373" s="90" t="s">
        <v>127</v>
      </c>
      <c r="BE373" s="187">
        <f t="shared" si="24"/>
        <v>0</v>
      </c>
      <c r="BF373" s="187">
        <f t="shared" si="25"/>
        <v>0</v>
      </c>
      <c r="BG373" s="187">
        <f t="shared" si="26"/>
        <v>0</v>
      </c>
      <c r="BH373" s="187">
        <f t="shared" si="27"/>
        <v>0</v>
      </c>
      <c r="BI373" s="187">
        <f t="shared" si="28"/>
        <v>0</v>
      </c>
      <c r="BJ373" s="90" t="s">
        <v>80</v>
      </c>
      <c r="BK373" s="187">
        <f t="shared" si="29"/>
        <v>0</v>
      </c>
      <c r="BL373" s="90" t="s">
        <v>131</v>
      </c>
      <c r="BM373" s="131" t="s">
        <v>425</v>
      </c>
    </row>
    <row r="374" spans="2:65" s="99" customFormat="1" ht="21.75" customHeight="1" x14ac:dyDescent="0.2">
      <c r="B374" s="98"/>
      <c r="C374" s="214">
        <v>91</v>
      </c>
      <c r="D374" s="214" t="s">
        <v>241</v>
      </c>
      <c r="E374" s="215" t="s">
        <v>426</v>
      </c>
      <c r="F374" s="216" t="s">
        <v>1068</v>
      </c>
      <c r="G374" s="217" t="s">
        <v>196</v>
      </c>
      <c r="H374" s="218">
        <v>1</v>
      </c>
      <c r="I374" s="85"/>
      <c r="J374" s="219">
        <f t="shared" si="20"/>
        <v>0</v>
      </c>
      <c r="K374" s="220"/>
      <c r="L374" s="246"/>
      <c r="M374" s="221" t="s">
        <v>1</v>
      </c>
      <c r="N374" s="222" t="s">
        <v>38</v>
      </c>
      <c r="P374" s="185">
        <f t="shared" si="21"/>
        <v>0</v>
      </c>
      <c r="Q374" s="185">
        <v>9.1999999999999998E-3</v>
      </c>
      <c r="R374" s="185">
        <f t="shared" si="22"/>
        <v>9.1999999999999998E-3</v>
      </c>
      <c r="S374" s="185">
        <v>0</v>
      </c>
      <c r="T374" s="186">
        <f t="shared" si="23"/>
        <v>0</v>
      </c>
      <c r="AR374" s="131" t="s">
        <v>148</v>
      </c>
      <c r="AT374" s="131" t="s">
        <v>241</v>
      </c>
      <c r="AU374" s="131" t="s">
        <v>82</v>
      </c>
      <c r="AY374" s="90" t="s">
        <v>127</v>
      </c>
      <c r="BE374" s="187">
        <f t="shared" si="24"/>
        <v>0</v>
      </c>
      <c r="BF374" s="187">
        <f t="shared" si="25"/>
        <v>0</v>
      </c>
      <c r="BG374" s="187">
        <f t="shared" si="26"/>
        <v>0</v>
      </c>
      <c r="BH374" s="187">
        <f t="shared" si="27"/>
        <v>0</v>
      </c>
      <c r="BI374" s="187">
        <f t="shared" si="28"/>
        <v>0</v>
      </c>
      <c r="BJ374" s="90" t="s">
        <v>80</v>
      </c>
      <c r="BK374" s="187">
        <f t="shared" si="29"/>
        <v>0</v>
      </c>
      <c r="BL374" s="90" t="s">
        <v>131</v>
      </c>
      <c r="BM374" s="131" t="s">
        <v>427</v>
      </c>
    </row>
    <row r="375" spans="2:65" s="99" customFormat="1" ht="40.5" customHeight="1" x14ac:dyDescent="0.2">
      <c r="B375" s="98"/>
      <c r="C375" s="214" t="s">
        <v>1069</v>
      </c>
      <c r="D375" s="214" t="s">
        <v>241</v>
      </c>
      <c r="E375" s="215"/>
      <c r="F375" s="216" t="s">
        <v>1070</v>
      </c>
      <c r="G375" s="217" t="s">
        <v>196</v>
      </c>
      <c r="H375" s="218">
        <v>1</v>
      </c>
      <c r="I375" s="85"/>
      <c r="J375" s="219">
        <f t="shared" si="20"/>
        <v>0</v>
      </c>
      <c r="K375" s="220"/>
      <c r="L375" s="246"/>
      <c r="M375" s="221" t="s">
        <v>1</v>
      </c>
      <c r="N375" s="222" t="s">
        <v>38</v>
      </c>
      <c r="P375" s="185">
        <f t="shared" si="21"/>
        <v>0</v>
      </c>
      <c r="Q375" s="185">
        <v>1.1999999999999999E-3</v>
      </c>
      <c r="R375" s="185">
        <f t="shared" si="22"/>
        <v>1.1999999999999999E-3</v>
      </c>
      <c r="S375" s="185">
        <v>0</v>
      </c>
      <c r="T375" s="186">
        <f t="shared" si="23"/>
        <v>0</v>
      </c>
      <c r="AR375" s="131" t="s">
        <v>148</v>
      </c>
      <c r="AT375" s="131" t="s">
        <v>241</v>
      </c>
      <c r="AU375" s="131" t="s">
        <v>82</v>
      </c>
      <c r="AY375" s="90" t="s">
        <v>127</v>
      </c>
      <c r="BE375" s="187">
        <f t="shared" si="24"/>
        <v>0</v>
      </c>
      <c r="BF375" s="187">
        <f t="shared" si="25"/>
        <v>0</v>
      </c>
      <c r="BG375" s="187">
        <f t="shared" si="26"/>
        <v>0</v>
      </c>
      <c r="BH375" s="187">
        <f t="shared" si="27"/>
        <v>0</v>
      </c>
      <c r="BI375" s="187">
        <f t="shared" si="28"/>
        <v>0</v>
      </c>
      <c r="BJ375" s="90" t="s">
        <v>80</v>
      </c>
      <c r="BK375" s="187">
        <f t="shared" si="29"/>
        <v>0</v>
      </c>
      <c r="BL375" s="90" t="s">
        <v>131</v>
      </c>
      <c r="BM375" s="131" t="s">
        <v>427</v>
      </c>
    </row>
    <row r="376" spans="2:65" s="99" customFormat="1" ht="24.2" customHeight="1" x14ac:dyDescent="0.2">
      <c r="B376" s="98"/>
      <c r="C376" s="176">
        <v>92</v>
      </c>
      <c r="D376" s="176" t="s">
        <v>129</v>
      </c>
      <c r="E376" s="177" t="s">
        <v>428</v>
      </c>
      <c r="F376" s="178" t="s">
        <v>429</v>
      </c>
      <c r="G376" s="179" t="s">
        <v>196</v>
      </c>
      <c r="H376" s="180">
        <v>21</v>
      </c>
      <c r="I376" s="80"/>
      <c r="J376" s="181">
        <f t="shared" si="20"/>
        <v>0</v>
      </c>
      <c r="K376" s="182"/>
      <c r="L376" s="196"/>
      <c r="M376" s="183" t="s">
        <v>1</v>
      </c>
      <c r="N376" s="184" t="s">
        <v>38</v>
      </c>
      <c r="P376" s="185">
        <f t="shared" si="21"/>
        <v>0</v>
      </c>
      <c r="Q376" s="185">
        <v>1.67E-3</v>
      </c>
      <c r="R376" s="185">
        <f t="shared" si="22"/>
        <v>3.5070000000000004E-2</v>
      </c>
      <c r="S376" s="185">
        <v>0</v>
      </c>
      <c r="T376" s="186">
        <f t="shared" si="23"/>
        <v>0</v>
      </c>
      <c r="AR376" s="131" t="s">
        <v>131</v>
      </c>
      <c r="AT376" s="131" t="s">
        <v>129</v>
      </c>
      <c r="AU376" s="131" t="s">
        <v>82</v>
      </c>
      <c r="AY376" s="90" t="s">
        <v>127</v>
      </c>
      <c r="BE376" s="187">
        <f t="shared" si="24"/>
        <v>0</v>
      </c>
      <c r="BF376" s="187">
        <f t="shared" si="25"/>
        <v>0</v>
      </c>
      <c r="BG376" s="187">
        <f t="shared" si="26"/>
        <v>0</v>
      </c>
      <c r="BH376" s="187">
        <f t="shared" si="27"/>
        <v>0</v>
      </c>
      <c r="BI376" s="187">
        <f t="shared" si="28"/>
        <v>0</v>
      </c>
      <c r="BJ376" s="90" t="s">
        <v>80</v>
      </c>
      <c r="BK376" s="187">
        <f t="shared" si="29"/>
        <v>0</v>
      </c>
      <c r="BL376" s="90" t="s">
        <v>131</v>
      </c>
      <c r="BM376" s="131" t="s">
        <v>430</v>
      </c>
    </row>
    <row r="377" spans="2:65" s="189" customFormat="1" x14ac:dyDescent="0.2">
      <c r="B377" s="188"/>
      <c r="D377" s="190" t="s">
        <v>132</v>
      </c>
      <c r="E377" s="191" t="s">
        <v>1</v>
      </c>
      <c r="F377" s="192" t="s">
        <v>1063</v>
      </c>
      <c r="H377" s="193">
        <v>21</v>
      </c>
      <c r="I377" s="82"/>
      <c r="L377" s="158"/>
      <c r="M377" s="194"/>
      <c r="T377" s="195"/>
      <c r="AT377" s="191" t="s">
        <v>132</v>
      </c>
      <c r="AU377" s="191" t="s">
        <v>82</v>
      </c>
      <c r="AV377" s="189" t="s">
        <v>82</v>
      </c>
      <c r="AW377" s="189" t="s">
        <v>30</v>
      </c>
      <c r="AX377" s="189" t="s">
        <v>72</v>
      </c>
      <c r="AY377" s="191" t="s">
        <v>127</v>
      </c>
    </row>
    <row r="378" spans="2:65" s="99" customFormat="1" ht="33" customHeight="1" x14ac:dyDescent="0.2">
      <c r="B378" s="98"/>
      <c r="C378" s="214">
        <v>93</v>
      </c>
      <c r="D378" s="214" t="s">
        <v>241</v>
      </c>
      <c r="E378" s="215" t="s">
        <v>431</v>
      </c>
      <c r="F378" s="216" t="s">
        <v>432</v>
      </c>
      <c r="G378" s="217" t="s">
        <v>196</v>
      </c>
      <c r="H378" s="218">
        <v>9</v>
      </c>
      <c r="I378" s="85"/>
      <c r="J378" s="219">
        <f>ROUND(I378*H378,2)</f>
        <v>0</v>
      </c>
      <c r="K378" s="220"/>
      <c r="L378" s="246"/>
      <c r="M378" s="221" t="s">
        <v>1</v>
      </c>
      <c r="N378" s="222" t="s">
        <v>38</v>
      </c>
      <c r="P378" s="185">
        <f>O378*H378</f>
        <v>0</v>
      </c>
      <c r="Q378" s="185">
        <v>8.8000000000000005E-3</v>
      </c>
      <c r="R378" s="185">
        <f>Q378*H378</f>
        <v>7.9200000000000007E-2</v>
      </c>
      <c r="S378" s="185">
        <v>0</v>
      </c>
      <c r="T378" s="186">
        <f>S378*H378</f>
        <v>0</v>
      </c>
      <c r="AR378" s="131" t="s">
        <v>148</v>
      </c>
      <c r="AT378" s="131" t="s">
        <v>241</v>
      </c>
      <c r="AU378" s="131" t="s">
        <v>82</v>
      </c>
      <c r="AY378" s="90" t="s">
        <v>127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90" t="s">
        <v>80</v>
      </c>
      <c r="BK378" s="187">
        <f>ROUND(I378*H378,2)</f>
        <v>0</v>
      </c>
      <c r="BL378" s="90" t="s">
        <v>131</v>
      </c>
      <c r="BM378" s="131" t="s">
        <v>433</v>
      </c>
    </row>
    <row r="379" spans="2:65" s="99" customFormat="1" ht="24.2" customHeight="1" x14ac:dyDescent="0.2">
      <c r="B379" s="98"/>
      <c r="C379" s="214">
        <v>94</v>
      </c>
      <c r="D379" s="214" t="s">
        <v>241</v>
      </c>
      <c r="E379" s="215" t="s">
        <v>434</v>
      </c>
      <c r="F379" s="216" t="s">
        <v>435</v>
      </c>
      <c r="G379" s="217" t="s">
        <v>196</v>
      </c>
      <c r="H379" s="218">
        <v>8</v>
      </c>
      <c r="I379" s="85"/>
      <c r="J379" s="219">
        <f>ROUND(I379*H379,2)</f>
        <v>0</v>
      </c>
      <c r="K379" s="220"/>
      <c r="L379" s="246"/>
      <c r="M379" s="221" t="s">
        <v>1</v>
      </c>
      <c r="N379" s="222" t="s">
        <v>38</v>
      </c>
      <c r="P379" s="185">
        <f>O379*H379</f>
        <v>0</v>
      </c>
      <c r="Q379" s="185">
        <v>1.35E-2</v>
      </c>
      <c r="R379" s="185">
        <f>Q379*H379</f>
        <v>0.108</v>
      </c>
      <c r="S379" s="185">
        <v>0</v>
      </c>
      <c r="T379" s="186">
        <f>S379*H379</f>
        <v>0</v>
      </c>
      <c r="AR379" s="131" t="s">
        <v>148</v>
      </c>
      <c r="AT379" s="131" t="s">
        <v>241</v>
      </c>
      <c r="AU379" s="131" t="s">
        <v>82</v>
      </c>
      <c r="AY379" s="90" t="s">
        <v>127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90" t="s">
        <v>80</v>
      </c>
      <c r="BK379" s="187">
        <f>ROUND(I379*H379,2)</f>
        <v>0</v>
      </c>
      <c r="BL379" s="90" t="s">
        <v>131</v>
      </c>
      <c r="BM379" s="131" t="s">
        <v>436</v>
      </c>
    </row>
    <row r="380" spans="2:65" s="99" customFormat="1" ht="24.2" customHeight="1" x14ac:dyDescent="0.2">
      <c r="B380" s="98"/>
      <c r="C380" s="214">
        <v>95</v>
      </c>
      <c r="D380" s="214" t="s">
        <v>241</v>
      </c>
      <c r="E380" s="215" t="s">
        <v>437</v>
      </c>
      <c r="F380" s="216" t="s">
        <v>438</v>
      </c>
      <c r="G380" s="217" t="s">
        <v>196</v>
      </c>
      <c r="H380" s="218">
        <v>2</v>
      </c>
      <c r="I380" s="85"/>
      <c r="J380" s="219">
        <f>ROUND(I380*H380,2)</f>
        <v>0</v>
      </c>
      <c r="K380" s="220"/>
      <c r="L380" s="246"/>
      <c r="M380" s="221" t="s">
        <v>1</v>
      </c>
      <c r="N380" s="222" t="s">
        <v>38</v>
      </c>
      <c r="P380" s="185">
        <f>O380*H380</f>
        <v>0</v>
      </c>
      <c r="Q380" s="185">
        <v>9.7999999999999997E-3</v>
      </c>
      <c r="R380" s="185">
        <f>Q380*H380</f>
        <v>1.9599999999999999E-2</v>
      </c>
      <c r="S380" s="185">
        <v>0</v>
      </c>
      <c r="T380" s="186">
        <f>S380*H380</f>
        <v>0</v>
      </c>
      <c r="AR380" s="131" t="s">
        <v>148</v>
      </c>
      <c r="AT380" s="131" t="s">
        <v>241</v>
      </c>
      <c r="AU380" s="131" t="s">
        <v>82</v>
      </c>
      <c r="AY380" s="90" t="s">
        <v>127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90" t="s">
        <v>80</v>
      </c>
      <c r="BK380" s="187">
        <f>ROUND(I380*H380,2)</f>
        <v>0</v>
      </c>
      <c r="BL380" s="90" t="s">
        <v>131</v>
      </c>
      <c r="BM380" s="131" t="s">
        <v>439</v>
      </c>
    </row>
    <row r="381" spans="2:65" s="99" customFormat="1" ht="24.2" customHeight="1" x14ac:dyDescent="0.2">
      <c r="B381" s="98"/>
      <c r="C381" s="214">
        <v>96</v>
      </c>
      <c r="D381" s="214" t="s">
        <v>241</v>
      </c>
      <c r="E381" s="215" t="s">
        <v>440</v>
      </c>
      <c r="F381" s="216" t="s">
        <v>441</v>
      </c>
      <c r="G381" s="217" t="s">
        <v>196</v>
      </c>
      <c r="H381" s="218">
        <v>1</v>
      </c>
      <c r="I381" s="85"/>
      <c r="J381" s="219">
        <f>ROUND(I381*H381,2)</f>
        <v>0</v>
      </c>
      <c r="K381" s="220"/>
      <c r="L381" s="246"/>
      <c r="M381" s="221" t="s">
        <v>1</v>
      </c>
      <c r="N381" s="222" t="s">
        <v>38</v>
      </c>
      <c r="P381" s="185">
        <f>O381*H381</f>
        <v>0</v>
      </c>
      <c r="Q381" s="185">
        <v>2.6800000000000001E-2</v>
      </c>
      <c r="R381" s="185">
        <f>Q381*H381</f>
        <v>2.6800000000000001E-2</v>
      </c>
      <c r="S381" s="185">
        <v>0</v>
      </c>
      <c r="T381" s="186">
        <f>S381*H381</f>
        <v>0</v>
      </c>
      <c r="AR381" s="131" t="s">
        <v>148</v>
      </c>
      <c r="AT381" s="131" t="s">
        <v>241</v>
      </c>
      <c r="AU381" s="131" t="s">
        <v>82</v>
      </c>
      <c r="AY381" s="90" t="s">
        <v>127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90" t="s">
        <v>80</v>
      </c>
      <c r="BK381" s="187">
        <f>ROUND(I381*H381,2)</f>
        <v>0</v>
      </c>
      <c r="BL381" s="90" t="s">
        <v>131</v>
      </c>
      <c r="BM381" s="131" t="s">
        <v>442</v>
      </c>
    </row>
    <row r="382" spans="2:65" s="99" customFormat="1" ht="40.5" customHeight="1" x14ac:dyDescent="0.2">
      <c r="B382" s="98"/>
      <c r="C382" s="214" t="s">
        <v>1064</v>
      </c>
      <c r="D382" s="214" t="s">
        <v>241</v>
      </c>
      <c r="E382" s="215"/>
      <c r="F382" s="216" t="s">
        <v>1065</v>
      </c>
      <c r="G382" s="217" t="s">
        <v>196</v>
      </c>
      <c r="H382" s="218">
        <v>1</v>
      </c>
      <c r="I382" s="85"/>
      <c r="J382" s="219">
        <f t="shared" ref="J382" si="30">ROUND(I382*H382,2)</f>
        <v>0</v>
      </c>
      <c r="K382" s="220"/>
      <c r="L382" s="246"/>
      <c r="M382" s="221" t="s">
        <v>1</v>
      </c>
      <c r="N382" s="222" t="s">
        <v>38</v>
      </c>
      <c r="P382" s="185">
        <f t="shared" ref="P382" si="31">O382*H382</f>
        <v>0</v>
      </c>
      <c r="Q382" s="185">
        <v>9.1999999999999998E-3</v>
      </c>
      <c r="R382" s="185">
        <f t="shared" ref="R382" si="32">Q382*H382</f>
        <v>9.1999999999999998E-3</v>
      </c>
      <c r="S382" s="185">
        <v>0</v>
      </c>
      <c r="T382" s="186">
        <f t="shared" ref="T382" si="33">S382*H382</f>
        <v>0</v>
      </c>
      <c r="AR382" s="131" t="s">
        <v>148</v>
      </c>
      <c r="AT382" s="131" t="s">
        <v>241</v>
      </c>
      <c r="AU382" s="131" t="s">
        <v>82</v>
      </c>
      <c r="AY382" s="90" t="s">
        <v>127</v>
      </c>
      <c r="BE382" s="187">
        <f t="shared" ref="BE382" si="34">IF(N382="základní",J382,0)</f>
        <v>0</v>
      </c>
      <c r="BF382" s="187">
        <f t="shared" ref="BF382" si="35">IF(N382="snížená",J382,0)</f>
        <v>0</v>
      </c>
      <c r="BG382" s="187">
        <f t="shared" ref="BG382" si="36">IF(N382="zákl. přenesená",J382,0)</f>
        <v>0</v>
      </c>
      <c r="BH382" s="187">
        <f t="shared" ref="BH382" si="37">IF(N382="sníž. přenesená",J382,0)</f>
        <v>0</v>
      </c>
      <c r="BI382" s="187">
        <f t="shared" ref="BI382" si="38">IF(N382="nulová",J382,0)</f>
        <v>0</v>
      </c>
      <c r="BJ382" s="90" t="s">
        <v>80</v>
      </c>
      <c r="BK382" s="187">
        <f t="shared" ref="BK382" si="39">ROUND(I382*H382,2)</f>
        <v>0</v>
      </c>
      <c r="BL382" s="90" t="s">
        <v>131</v>
      </c>
      <c r="BM382" s="131" t="s">
        <v>427</v>
      </c>
    </row>
    <row r="383" spans="2:65" s="99" customFormat="1" ht="40.5" customHeight="1" x14ac:dyDescent="0.2">
      <c r="B383" s="98"/>
      <c r="C383" s="214" t="s">
        <v>1066</v>
      </c>
      <c r="D383" s="214" t="s">
        <v>241</v>
      </c>
      <c r="E383" s="215"/>
      <c r="F383" s="216" t="s">
        <v>1067</v>
      </c>
      <c r="G383" s="217" t="s">
        <v>196</v>
      </c>
      <c r="H383" s="218">
        <v>1</v>
      </c>
      <c r="I383" s="85"/>
      <c r="J383" s="219">
        <f t="shared" ref="J383" si="40">ROUND(I383*H383,2)</f>
        <v>0</v>
      </c>
      <c r="K383" s="220"/>
      <c r="L383" s="246"/>
      <c r="M383" s="221" t="s">
        <v>1</v>
      </c>
      <c r="N383" s="222" t="s">
        <v>38</v>
      </c>
      <c r="P383" s="185">
        <f t="shared" ref="P383" si="41">O383*H383</f>
        <v>0</v>
      </c>
      <c r="Q383" s="185">
        <v>1.1999999999999999E-3</v>
      </c>
      <c r="R383" s="185">
        <f t="shared" ref="R383" si="42">Q383*H383</f>
        <v>1.1999999999999999E-3</v>
      </c>
      <c r="S383" s="185">
        <v>0</v>
      </c>
      <c r="T383" s="186">
        <f t="shared" ref="T383" si="43">S383*H383</f>
        <v>0</v>
      </c>
      <c r="AR383" s="131" t="s">
        <v>148</v>
      </c>
      <c r="AT383" s="131" t="s">
        <v>241</v>
      </c>
      <c r="AU383" s="131" t="s">
        <v>82</v>
      </c>
      <c r="AY383" s="90" t="s">
        <v>127</v>
      </c>
      <c r="BE383" s="187">
        <f t="shared" ref="BE383" si="44">IF(N383="základní",J383,0)</f>
        <v>0</v>
      </c>
      <c r="BF383" s="187">
        <f t="shared" ref="BF383" si="45">IF(N383="snížená",J383,0)</f>
        <v>0</v>
      </c>
      <c r="BG383" s="187">
        <f t="shared" ref="BG383" si="46">IF(N383="zákl. přenesená",J383,0)</f>
        <v>0</v>
      </c>
      <c r="BH383" s="187">
        <f t="shared" ref="BH383" si="47">IF(N383="sníž. přenesená",J383,0)</f>
        <v>0</v>
      </c>
      <c r="BI383" s="187">
        <f t="shared" ref="BI383" si="48">IF(N383="nulová",J383,0)</f>
        <v>0</v>
      </c>
      <c r="BJ383" s="90" t="s">
        <v>80</v>
      </c>
      <c r="BK383" s="187">
        <f t="shared" ref="BK383" si="49">ROUND(I383*H383,2)</f>
        <v>0</v>
      </c>
      <c r="BL383" s="90" t="s">
        <v>131</v>
      </c>
      <c r="BM383" s="131" t="s">
        <v>427</v>
      </c>
    </row>
    <row r="384" spans="2:65" s="99" customFormat="1" ht="24.2" customHeight="1" x14ac:dyDescent="0.2">
      <c r="B384" s="98"/>
      <c r="C384" s="176">
        <v>97</v>
      </c>
      <c r="D384" s="176" t="s">
        <v>129</v>
      </c>
      <c r="E384" s="177" t="s">
        <v>443</v>
      </c>
      <c r="F384" s="178" t="s">
        <v>444</v>
      </c>
      <c r="G384" s="179" t="s">
        <v>196</v>
      </c>
      <c r="H384" s="180">
        <v>6</v>
      </c>
      <c r="I384" s="80"/>
      <c r="J384" s="181">
        <f>ROUND(I384*H384,2)</f>
        <v>0</v>
      </c>
      <c r="K384" s="182"/>
      <c r="L384" s="196"/>
      <c r="M384" s="183" t="s">
        <v>1</v>
      </c>
      <c r="N384" s="184" t="s">
        <v>38</v>
      </c>
      <c r="P384" s="185">
        <f>O384*H384</f>
        <v>0</v>
      </c>
      <c r="Q384" s="185">
        <v>1.7099999999999999E-3</v>
      </c>
      <c r="R384" s="185">
        <f>Q384*H384</f>
        <v>1.026E-2</v>
      </c>
      <c r="S384" s="185">
        <v>0</v>
      </c>
      <c r="T384" s="186">
        <f>S384*H384</f>
        <v>0</v>
      </c>
      <c r="AR384" s="131" t="s">
        <v>131</v>
      </c>
      <c r="AT384" s="131" t="s">
        <v>129</v>
      </c>
      <c r="AU384" s="131" t="s">
        <v>82</v>
      </c>
      <c r="AY384" s="90" t="s">
        <v>127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90" t="s">
        <v>80</v>
      </c>
      <c r="BK384" s="187">
        <f>ROUND(I384*H384,2)</f>
        <v>0</v>
      </c>
      <c r="BL384" s="90" t="s">
        <v>131</v>
      </c>
      <c r="BM384" s="131" t="s">
        <v>445</v>
      </c>
    </row>
    <row r="385" spans="2:65" s="189" customFormat="1" x14ac:dyDescent="0.2">
      <c r="B385" s="188"/>
      <c r="D385" s="190" t="s">
        <v>132</v>
      </c>
      <c r="E385" s="191" t="s">
        <v>1</v>
      </c>
      <c r="F385" s="192" t="s">
        <v>446</v>
      </c>
      <c r="H385" s="193">
        <v>6</v>
      </c>
      <c r="I385" s="82"/>
      <c r="L385" s="158"/>
      <c r="M385" s="194"/>
      <c r="T385" s="195"/>
      <c r="AT385" s="191" t="s">
        <v>132</v>
      </c>
      <c r="AU385" s="191" t="s">
        <v>82</v>
      </c>
      <c r="AV385" s="189" t="s">
        <v>82</v>
      </c>
      <c r="AW385" s="189" t="s">
        <v>30</v>
      </c>
      <c r="AX385" s="189" t="s">
        <v>72</v>
      </c>
      <c r="AY385" s="191" t="s">
        <v>127</v>
      </c>
    </row>
    <row r="386" spans="2:65" s="198" customFormat="1" x14ac:dyDescent="0.2">
      <c r="B386" s="197"/>
      <c r="D386" s="190" t="s">
        <v>132</v>
      </c>
      <c r="E386" s="199" t="s">
        <v>1</v>
      </c>
      <c r="F386" s="200" t="s">
        <v>133</v>
      </c>
      <c r="H386" s="201">
        <v>6</v>
      </c>
      <c r="I386" s="83"/>
      <c r="L386" s="202"/>
      <c r="M386" s="203"/>
      <c r="T386" s="204"/>
      <c r="AT386" s="199" t="s">
        <v>132</v>
      </c>
      <c r="AU386" s="199" t="s">
        <v>82</v>
      </c>
      <c r="AV386" s="198" t="s">
        <v>131</v>
      </c>
      <c r="AW386" s="198" t="s">
        <v>30</v>
      </c>
      <c r="AX386" s="198" t="s">
        <v>80</v>
      </c>
      <c r="AY386" s="199" t="s">
        <v>127</v>
      </c>
    </row>
    <row r="387" spans="2:65" s="99" customFormat="1" ht="33" customHeight="1" x14ac:dyDescent="0.2">
      <c r="B387" s="98"/>
      <c r="C387" s="214">
        <v>98</v>
      </c>
      <c r="D387" s="214" t="s">
        <v>241</v>
      </c>
      <c r="E387" s="215" t="s">
        <v>447</v>
      </c>
      <c r="F387" s="216" t="s">
        <v>448</v>
      </c>
      <c r="G387" s="217" t="s">
        <v>196</v>
      </c>
      <c r="H387" s="218">
        <v>3</v>
      </c>
      <c r="I387" s="85"/>
      <c r="J387" s="219">
        <f>ROUND(I387*H387,2)</f>
        <v>0</v>
      </c>
      <c r="K387" s="220"/>
      <c r="L387" s="246"/>
      <c r="M387" s="221" t="s">
        <v>1</v>
      </c>
      <c r="N387" s="222" t="s">
        <v>38</v>
      </c>
      <c r="P387" s="185">
        <f>O387*H387</f>
        <v>0</v>
      </c>
      <c r="Q387" s="185">
        <v>1.78E-2</v>
      </c>
      <c r="R387" s="185">
        <f>Q387*H387</f>
        <v>5.3400000000000003E-2</v>
      </c>
      <c r="S387" s="185">
        <v>0</v>
      </c>
      <c r="T387" s="186">
        <f>S387*H387</f>
        <v>0</v>
      </c>
      <c r="AR387" s="131" t="s">
        <v>148</v>
      </c>
      <c r="AT387" s="131" t="s">
        <v>241</v>
      </c>
      <c r="AU387" s="131" t="s">
        <v>82</v>
      </c>
      <c r="AY387" s="90" t="s">
        <v>127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90" t="s">
        <v>80</v>
      </c>
      <c r="BK387" s="187">
        <f>ROUND(I387*H387,2)</f>
        <v>0</v>
      </c>
      <c r="BL387" s="90" t="s">
        <v>131</v>
      </c>
      <c r="BM387" s="131" t="s">
        <v>449</v>
      </c>
    </row>
    <row r="388" spans="2:65" s="99" customFormat="1" ht="24.2" customHeight="1" x14ac:dyDescent="0.2">
      <c r="B388" s="98"/>
      <c r="C388" s="214">
        <v>99</v>
      </c>
      <c r="D388" s="214" t="s">
        <v>241</v>
      </c>
      <c r="E388" s="215" t="s">
        <v>450</v>
      </c>
      <c r="F388" s="216" t="s">
        <v>451</v>
      </c>
      <c r="G388" s="217" t="s">
        <v>196</v>
      </c>
      <c r="H388" s="218">
        <v>1</v>
      </c>
      <c r="I388" s="85"/>
      <c r="J388" s="219">
        <f>ROUND(I388*H388,2)</f>
        <v>0</v>
      </c>
      <c r="K388" s="220"/>
      <c r="L388" s="246"/>
      <c r="M388" s="221" t="s">
        <v>1</v>
      </c>
      <c r="N388" s="222" t="s">
        <v>38</v>
      </c>
      <c r="P388" s="185">
        <f>O388*H388</f>
        <v>0</v>
      </c>
      <c r="Q388" s="185">
        <v>2.5000000000000001E-2</v>
      </c>
      <c r="R388" s="185">
        <f>Q388*H388</f>
        <v>2.5000000000000001E-2</v>
      </c>
      <c r="S388" s="185">
        <v>0</v>
      </c>
      <c r="T388" s="186">
        <f>S388*H388</f>
        <v>0</v>
      </c>
      <c r="AR388" s="131" t="s">
        <v>148</v>
      </c>
      <c r="AT388" s="131" t="s">
        <v>241</v>
      </c>
      <c r="AU388" s="131" t="s">
        <v>82</v>
      </c>
      <c r="AY388" s="90" t="s">
        <v>127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90" t="s">
        <v>80</v>
      </c>
      <c r="BK388" s="187">
        <f>ROUND(I388*H388,2)</f>
        <v>0</v>
      </c>
      <c r="BL388" s="90" t="s">
        <v>131</v>
      </c>
      <c r="BM388" s="131" t="s">
        <v>452</v>
      </c>
    </row>
    <row r="389" spans="2:65" s="99" customFormat="1" ht="24.2" customHeight="1" x14ac:dyDescent="0.2">
      <c r="B389" s="98"/>
      <c r="C389" s="214">
        <v>100</v>
      </c>
      <c r="D389" s="214" t="s">
        <v>241</v>
      </c>
      <c r="E389" s="215" t="s">
        <v>453</v>
      </c>
      <c r="F389" s="216" t="s">
        <v>454</v>
      </c>
      <c r="G389" s="217" t="s">
        <v>196</v>
      </c>
      <c r="H389" s="218">
        <v>2</v>
      </c>
      <c r="I389" s="85"/>
      <c r="J389" s="219">
        <f>ROUND(I389*H389,2)</f>
        <v>0</v>
      </c>
      <c r="K389" s="220"/>
      <c r="L389" s="246"/>
      <c r="M389" s="221" t="s">
        <v>1</v>
      </c>
      <c r="N389" s="222" t="s">
        <v>38</v>
      </c>
      <c r="P389" s="185">
        <f>O389*H389</f>
        <v>0</v>
      </c>
      <c r="Q389" s="185">
        <v>1.9E-2</v>
      </c>
      <c r="R389" s="185">
        <f>Q389*H389</f>
        <v>3.7999999999999999E-2</v>
      </c>
      <c r="S389" s="185">
        <v>0</v>
      </c>
      <c r="T389" s="186">
        <f>S389*H389</f>
        <v>0</v>
      </c>
      <c r="AR389" s="131" t="s">
        <v>148</v>
      </c>
      <c r="AT389" s="131" t="s">
        <v>241</v>
      </c>
      <c r="AU389" s="131" t="s">
        <v>82</v>
      </c>
      <c r="AY389" s="90" t="s">
        <v>127</v>
      </c>
      <c r="BE389" s="187">
        <f>IF(N389="základní",J389,0)</f>
        <v>0</v>
      </c>
      <c r="BF389" s="187">
        <f>IF(N389="snížená",J389,0)</f>
        <v>0</v>
      </c>
      <c r="BG389" s="187">
        <f>IF(N389="zákl. přenesená",J389,0)</f>
        <v>0</v>
      </c>
      <c r="BH389" s="187">
        <f>IF(N389="sníž. přenesená",J389,0)</f>
        <v>0</v>
      </c>
      <c r="BI389" s="187">
        <f>IF(N389="nulová",J389,0)</f>
        <v>0</v>
      </c>
      <c r="BJ389" s="90" t="s">
        <v>80</v>
      </c>
      <c r="BK389" s="187">
        <f>ROUND(I389*H389,2)</f>
        <v>0</v>
      </c>
      <c r="BL389" s="90" t="s">
        <v>131</v>
      </c>
      <c r="BM389" s="131" t="s">
        <v>455</v>
      </c>
    </row>
    <row r="390" spans="2:65" s="99" customFormat="1" ht="24.2" customHeight="1" x14ac:dyDescent="0.2">
      <c r="B390" s="98"/>
      <c r="C390" s="176">
        <v>101</v>
      </c>
      <c r="D390" s="176" t="s">
        <v>129</v>
      </c>
      <c r="E390" s="177" t="s">
        <v>456</v>
      </c>
      <c r="F390" s="178" t="s">
        <v>457</v>
      </c>
      <c r="G390" s="179" t="s">
        <v>196</v>
      </c>
      <c r="H390" s="180">
        <v>2</v>
      </c>
      <c r="I390" s="80"/>
      <c r="J390" s="181">
        <f>ROUND(I390*H390,2)</f>
        <v>0</v>
      </c>
      <c r="K390" s="182"/>
      <c r="L390" s="196"/>
      <c r="M390" s="183" t="s">
        <v>1</v>
      </c>
      <c r="N390" s="184" t="s">
        <v>38</v>
      </c>
      <c r="P390" s="185">
        <f>O390*H390</f>
        <v>0</v>
      </c>
      <c r="Q390" s="185">
        <v>0</v>
      </c>
      <c r="R390" s="185">
        <f>Q390*H390</f>
        <v>0</v>
      </c>
      <c r="S390" s="185">
        <v>0</v>
      </c>
      <c r="T390" s="186">
        <f>S390*H390</f>
        <v>0</v>
      </c>
      <c r="AR390" s="131" t="s">
        <v>131</v>
      </c>
      <c r="AT390" s="131" t="s">
        <v>129</v>
      </c>
      <c r="AU390" s="131" t="s">
        <v>82</v>
      </c>
      <c r="AY390" s="90" t="s">
        <v>127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90" t="s">
        <v>80</v>
      </c>
      <c r="BK390" s="187">
        <f>ROUND(I390*H390,2)</f>
        <v>0</v>
      </c>
      <c r="BL390" s="90" t="s">
        <v>131</v>
      </c>
      <c r="BM390" s="131" t="s">
        <v>458</v>
      </c>
    </row>
    <row r="391" spans="2:65" s="189" customFormat="1" x14ac:dyDescent="0.2">
      <c r="B391" s="188"/>
      <c r="D391" s="190" t="s">
        <v>132</v>
      </c>
      <c r="E391" s="191" t="s">
        <v>1</v>
      </c>
      <c r="F391" s="192" t="s">
        <v>459</v>
      </c>
      <c r="H391" s="193">
        <v>2</v>
      </c>
      <c r="I391" s="82"/>
      <c r="L391" s="158"/>
      <c r="M391" s="194"/>
      <c r="T391" s="195"/>
      <c r="AT391" s="191" t="s">
        <v>132</v>
      </c>
      <c r="AU391" s="191" t="s">
        <v>82</v>
      </c>
      <c r="AV391" s="189" t="s">
        <v>82</v>
      </c>
      <c r="AW391" s="189" t="s">
        <v>30</v>
      </c>
      <c r="AX391" s="189" t="s">
        <v>72</v>
      </c>
      <c r="AY391" s="191" t="s">
        <v>127</v>
      </c>
    </row>
    <row r="392" spans="2:65" s="198" customFormat="1" x14ac:dyDescent="0.2">
      <c r="B392" s="197"/>
      <c r="D392" s="190" t="s">
        <v>132</v>
      </c>
      <c r="E392" s="199" t="s">
        <v>1</v>
      </c>
      <c r="F392" s="200" t="s">
        <v>133</v>
      </c>
      <c r="H392" s="201">
        <v>2</v>
      </c>
      <c r="I392" s="83"/>
      <c r="L392" s="202"/>
      <c r="M392" s="203"/>
      <c r="T392" s="204"/>
      <c r="AT392" s="199" t="s">
        <v>132</v>
      </c>
      <c r="AU392" s="199" t="s">
        <v>82</v>
      </c>
      <c r="AV392" s="198" t="s">
        <v>131</v>
      </c>
      <c r="AW392" s="198" t="s">
        <v>30</v>
      </c>
      <c r="AX392" s="198" t="s">
        <v>80</v>
      </c>
      <c r="AY392" s="199" t="s">
        <v>127</v>
      </c>
    </row>
    <row r="393" spans="2:65" s="99" customFormat="1" ht="24.2" customHeight="1" x14ac:dyDescent="0.2">
      <c r="B393" s="98"/>
      <c r="C393" s="214">
        <v>102</v>
      </c>
      <c r="D393" s="214" t="s">
        <v>241</v>
      </c>
      <c r="E393" s="215" t="s">
        <v>460</v>
      </c>
      <c r="F393" s="216" t="s">
        <v>461</v>
      </c>
      <c r="G393" s="217" t="s">
        <v>196</v>
      </c>
      <c r="H393" s="218">
        <v>1</v>
      </c>
      <c r="I393" s="85"/>
      <c r="J393" s="219">
        <f>ROUND(I393*H393,2)</f>
        <v>0</v>
      </c>
      <c r="K393" s="220"/>
      <c r="L393" s="246"/>
      <c r="M393" s="221" t="s">
        <v>1</v>
      </c>
      <c r="N393" s="222" t="s">
        <v>38</v>
      </c>
      <c r="P393" s="185">
        <f>O393*H393</f>
        <v>0</v>
      </c>
      <c r="Q393" s="185">
        <v>1.44E-2</v>
      </c>
      <c r="R393" s="185">
        <f>Q393*H393</f>
        <v>1.44E-2</v>
      </c>
      <c r="S393" s="185">
        <v>0</v>
      </c>
      <c r="T393" s="186">
        <f>S393*H393</f>
        <v>0</v>
      </c>
      <c r="AR393" s="131" t="s">
        <v>148</v>
      </c>
      <c r="AT393" s="131" t="s">
        <v>241</v>
      </c>
      <c r="AU393" s="131" t="s">
        <v>82</v>
      </c>
      <c r="AY393" s="90" t="s">
        <v>127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90" t="s">
        <v>80</v>
      </c>
      <c r="BK393" s="187">
        <f>ROUND(I393*H393,2)</f>
        <v>0</v>
      </c>
      <c r="BL393" s="90" t="s">
        <v>131</v>
      </c>
      <c r="BM393" s="131" t="s">
        <v>462</v>
      </c>
    </row>
    <row r="394" spans="2:65" s="99" customFormat="1" ht="21.75" customHeight="1" x14ac:dyDescent="0.2">
      <c r="B394" s="98"/>
      <c r="C394" s="214">
        <v>103</v>
      </c>
      <c r="D394" s="214" t="s">
        <v>241</v>
      </c>
      <c r="E394" s="215" t="s">
        <v>463</v>
      </c>
      <c r="F394" s="216" t="s">
        <v>464</v>
      </c>
      <c r="G394" s="217" t="s">
        <v>196</v>
      </c>
      <c r="H394" s="218">
        <v>1</v>
      </c>
      <c r="I394" s="85"/>
      <c r="J394" s="219">
        <f>ROUND(I394*H394,2)</f>
        <v>0</v>
      </c>
      <c r="K394" s="220"/>
      <c r="L394" s="246"/>
      <c r="M394" s="221" t="s">
        <v>1</v>
      </c>
      <c r="N394" s="222" t="s">
        <v>38</v>
      </c>
      <c r="P394" s="185">
        <f>O394*H394</f>
        <v>0</v>
      </c>
      <c r="Q394" s="185">
        <v>1.7399999999999999E-2</v>
      </c>
      <c r="R394" s="185">
        <f>Q394*H394</f>
        <v>1.7399999999999999E-2</v>
      </c>
      <c r="S394" s="185">
        <v>0</v>
      </c>
      <c r="T394" s="186">
        <f>S394*H394</f>
        <v>0</v>
      </c>
      <c r="AR394" s="131" t="s">
        <v>148</v>
      </c>
      <c r="AT394" s="131" t="s">
        <v>241</v>
      </c>
      <c r="AU394" s="131" t="s">
        <v>82</v>
      </c>
      <c r="AY394" s="90" t="s">
        <v>127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90" t="s">
        <v>80</v>
      </c>
      <c r="BK394" s="187">
        <f>ROUND(I394*H394,2)</f>
        <v>0</v>
      </c>
      <c r="BL394" s="90" t="s">
        <v>131</v>
      </c>
      <c r="BM394" s="131" t="s">
        <v>465</v>
      </c>
    </row>
    <row r="395" spans="2:65" s="99" customFormat="1" ht="24.2" customHeight="1" x14ac:dyDescent="0.2">
      <c r="B395" s="98"/>
      <c r="C395" s="176">
        <v>104</v>
      </c>
      <c r="D395" s="176" t="s">
        <v>129</v>
      </c>
      <c r="E395" s="177" t="s">
        <v>466</v>
      </c>
      <c r="F395" s="178" t="s">
        <v>467</v>
      </c>
      <c r="G395" s="179" t="s">
        <v>196</v>
      </c>
      <c r="H395" s="180">
        <v>4</v>
      </c>
      <c r="I395" s="80"/>
      <c r="J395" s="181">
        <f>ROUND(I395*H395,2)</f>
        <v>0</v>
      </c>
      <c r="K395" s="182"/>
      <c r="L395" s="196"/>
      <c r="M395" s="183" t="s">
        <v>1</v>
      </c>
      <c r="N395" s="184" t="s">
        <v>38</v>
      </c>
      <c r="P395" s="185">
        <f>O395*H395</f>
        <v>0</v>
      </c>
      <c r="Q395" s="185">
        <v>2.82E-3</v>
      </c>
      <c r="R395" s="185">
        <f>Q395*H395</f>
        <v>1.128E-2</v>
      </c>
      <c r="S395" s="185">
        <v>0</v>
      </c>
      <c r="T395" s="186">
        <f>S395*H395</f>
        <v>0</v>
      </c>
      <c r="AR395" s="131" t="s">
        <v>131</v>
      </c>
      <c r="AT395" s="131" t="s">
        <v>129</v>
      </c>
      <c r="AU395" s="131" t="s">
        <v>82</v>
      </c>
      <c r="AY395" s="90" t="s">
        <v>127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90" t="s">
        <v>80</v>
      </c>
      <c r="BK395" s="187">
        <f>ROUND(I395*H395,2)</f>
        <v>0</v>
      </c>
      <c r="BL395" s="90" t="s">
        <v>131</v>
      </c>
      <c r="BM395" s="131" t="s">
        <v>468</v>
      </c>
    </row>
    <row r="396" spans="2:65" s="189" customFormat="1" x14ac:dyDescent="0.2">
      <c r="B396" s="188"/>
      <c r="D396" s="190" t="s">
        <v>132</v>
      </c>
      <c r="E396" s="191" t="s">
        <v>1</v>
      </c>
      <c r="F396" s="192" t="s">
        <v>469</v>
      </c>
      <c r="H396" s="193">
        <v>4</v>
      </c>
      <c r="I396" s="82"/>
      <c r="L396" s="158"/>
      <c r="M396" s="194"/>
      <c r="T396" s="195"/>
      <c r="AT396" s="191" t="s">
        <v>132</v>
      </c>
      <c r="AU396" s="191" t="s">
        <v>82</v>
      </c>
      <c r="AV396" s="189" t="s">
        <v>82</v>
      </c>
      <c r="AW396" s="189" t="s">
        <v>30</v>
      </c>
      <c r="AX396" s="189" t="s">
        <v>72</v>
      </c>
      <c r="AY396" s="191" t="s">
        <v>127</v>
      </c>
    </row>
    <row r="397" spans="2:65" s="198" customFormat="1" x14ac:dyDescent="0.2">
      <c r="B397" s="197"/>
      <c r="D397" s="190" t="s">
        <v>132</v>
      </c>
      <c r="E397" s="199" t="s">
        <v>1</v>
      </c>
      <c r="F397" s="200" t="s">
        <v>133</v>
      </c>
      <c r="H397" s="201">
        <v>4</v>
      </c>
      <c r="I397" s="83"/>
      <c r="L397" s="202"/>
      <c r="M397" s="203"/>
      <c r="T397" s="204"/>
      <c r="AT397" s="199" t="s">
        <v>132</v>
      </c>
      <c r="AU397" s="199" t="s">
        <v>82</v>
      </c>
      <c r="AV397" s="198" t="s">
        <v>131</v>
      </c>
      <c r="AW397" s="198" t="s">
        <v>30</v>
      </c>
      <c r="AX397" s="198" t="s">
        <v>80</v>
      </c>
      <c r="AY397" s="199" t="s">
        <v>127</v>
      </c>
    </row>
    <row r="398" spans="2:65" s="99" customFormat="1" ht="24.2" customHeight="1" x14ac:dyDescent="0.2">
      <c r="B398" s="98"/>
      <c r="C398" s="214">
        <v>105</v>
      </c>
      <c r="D398" s="214" t="s">
        <v>241</v>
      </c>
      <c r="E398" s="215" t="s">
        <v>470</v>
      </c>
      <c r="F398" s="216" t="s">
        <v>471</v>
      </c>
      <c r="G398" s="217" t="s">
        <v>196</v>
      </c>
      <c r="H398" s="218">
        <v>1</v>
      </c>
      <c r="I398" s="85"/>
      <c r="J398" s="219">
        <f>ROUND(I398*H398,2)</f>
        <v>0</v>
      </c>
      <c r="K398" s="220"/>
      <c r="L398" s="246"/>
      <c r="M398" s="221" t="s">
        <v>1</v>
      </c>
      <c r="N398" s="222" t="s">
        <v>38</v>
      </c>
      <c r="P398" s="185">
        <f>O398*H398</f>
        <v>0</v>
      </c>
      <c r="Q398" s="185">
        <v>1.3899999999999999E-2</v>
      </c>
      <c r="R398" s="185">
        <f>Q398*H398</f>
        <v>1.3899999999999999E-2</v>
      </c>
      <c r="S398" s="185">
        <v>0</v>
      </c>
      <c r="T398" s="186">
        <f>S398*H398</f>
        <v>0</v>
      </c>
      <c r="AR398" s="131" t="s">
        <v>148</v>
      </c>
      <c r="AT398" s="131" t="s">
        <v>241</v>
      </c>
      <c r="AU398" s="131" t="s">
        <v>82</v>
      </c>
      <c r="AY398" s="90" t="s">
        <v>127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90" t="s">
        <v>80</v>
      </c>
      <c r="BK398" s="187">
        <f>ROUND(I398*H398,2)</f>
        <v>0</v>
      </c>
      <c r="BL398" s="90" t="s">
        <v>131</v>
      </c>
      <c r="BM398" s="131" t="s">
        <v>472</v>
      </c>
    </row>
    <row r="399" spans="2:65" s="99" customFormat="1" ht="24.2" customHeight="1" x14ac:dyDescent="0.2">
      <c r="B399" s="98"/>
      <c r="C399" s="214">
        <v>106</v>
      </c>
      <c r="D399" s="214" t="s">
        <v>241</v>
      </c>
      <c r="E399" s="215" t="s">
        <v>473</v>
      </c>
      <c r="F399" s="216" t="s">
        <v>474</v>
      </c>
      <c r="G399" s="217" t="s">
        <v>196</v>
      </c>
      <c r="H399" s="218">
        <v>2</v>
      </c>
      <c r="I399" s="85"/>
      <c r="J399" s="219">
        <f>ROUND(I399*H399,2)</f>
        <v>0</v>
      </c>
      <c r="K399" s="220"/>
      <c r="L399" s="246"/>
      <c r="M399" s="221" t="s">
        <v>1</v>
      </c>
      <c r="N399" s="222" t="s">
        <v>38</v>
      </c>
      <c r="P399" s="185">
        <f>O399*H399</f>
        <v>0</v>
      </c>
      <c r="Q399" s="185">
        <v>3.3500000000000002E-2</v>
      </c>
      <c r="R399" s="185">
        <f>Q399*H399</f>
        <v>6.7000000000000004E-2</v>
      </c>
      <c r="S399" s="185">
        <v>0</v>
      </c>
      <c r="T399" s="186">
        <f>S399*H399</f>
        <v>0</v>
      </c>
      <c r="AR399" s="131" t="s">
        <v>148</v>
      </c>
      <c r="AT399" s="131" t="s">
        <v>241</v>
      </c>
      <c r="AU399" s="131" t="s">
        <v>82</v>
      </c>
      <c r="AY399" s="90" t="s">
        <v>127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90" t="s">
        <v>80</v>
      </c>
      <c r="BK399" s="187">
        <f>ROUND(I399*H399,2)</f>
        <v>0</v>
      </c>
      <c r="BL399" s="90" t="s">
        <v>131</v>
      </c>
      <c r="BM399" s="131" t="s">
        <v>475</v>
      </c>
    </row>
    <row r="400" spans="2:65" s="99" customFormat="1" ht="37.9" customHeight="1" x14ac:dyDescent="0.2">
      <c r="B400" s="98"/>
      <c r="C400" s="214">
        <v>107</v>
      </c>
      <c r="D400" s="214" t="s">
        <v>241</v>
      </c>
      <c r="E400" s="215" t="s">
        <v>476</v>
      </c>
      <c r="F400" s="216" t="s">
        <v>477</v>
      </c>
      <c r="G400" s="217" t="s">
        <v>196</v>
      </c>
      <c r="H400" s="218">
        <v>1</v>
      </c>
      <c r="I400" s="85"/>
      <c r="J400" s="219">
        <f>ROUND(I400*H400,2)</f>
        <v>0</v>
      </c>
      <c r="K400" s="220"/>
      <c r="L400" s="246"/>
      <c r="M400" s="221" t="s">
        <v>1</v>
      </c>
      <c r="N400" s="222" t="s">
        <v>38</v>
      </c>
      <c r="P400" s="185">
        <f>O400*H400</f>
        <v>0</v>
      </c>
      <c r="Q400" s="185">
        <v>1.4800000000000001E-2</v>
      </c>
      <c r="R400" s="185">
        <f>Q400*H400</f>
        <v>1.4800000000000001E-2</v>
      </c>
      <c r="S400" s="185">
        <v>0</v>
      </c>
      <c r="T400" s="186">
        <f>S400*H400</f>
        <v>0</v>
      </c>
      <c r="AR400" s="131" t="s">
        <v>148</v>
      </c>
      <c r="AT400" s="131" t="s">
        <v>241</v>
      </c>
      <c r="AU400" s="131" t="s">
        <v>82</v>
      </c>
      <c r="AY400" s="90" t="s">
        <v>127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90" t="s">
        <v>80</v>
      </c>
      <c r="BK400" s="187">
        <f>ROUND(I400*H400,2)</f>
        <v>0</v>
      </c>
      <c r="BL400" s="90" t="s">
        <v>131</v>
      </c>
      <c r="BM400" s="131" t="s">
        <v>478</v>
      </c>
    </row>
    <row r="401" spans="2:65" s="99" customFormat="1" ht="24.2" customHeight="1" x14ac:dyDescent="0.2">
      <c r="B401" s="98"/>
      <c r="C401" s="176">
        <v>108</v>
      </c>
      <c r="D401" s="176" t="s">
        <v>129</v>
      </c>
      <c r="E401" s="177" t="s">
        <v>479</v>
      </c>
      <c r="F401" s="178" t="s">
        <v>480</v>
      </c>
      <c r="G401" s="179" t="s">
        <v>196</v>
      </c>
      <c r="H401" s="180">
        <v>2</v>
      </c>
      <c r="I401" s="80"/>
      <c r="J401" s="181">
        <f>ROUND(I401*H401,2)</f>
        <v>0</v>
      </c>
      <c r="K401" s="182"/>
      <c r="L401" s="196"/>
      <c r="M401" s="183" t="s">
        <v>1</v>
      </c>
      <c r="N401" s="184" t="s">
        <v>38</v>
      </c>
      <c r="P401" s="185">
        <f>O401*H401</f>
        <v>0</v>
      </c>
      <c r="Q401" s="185">
        <v>3.6600000000000001E-3</v>
      </c>
      <c r="R401" s="185">
        <f>Q401*H401</f>
        <v>7.3200000000000001E-3</v>
      </c>
      <c r="S401" s="185">
        <v>0</v>
      </c>
      <c r="T401" s="186">
        <f>S401*H401</f>
        <v>0</v>
      </c>
      <c r="AR401" s="131" t="s">
        <v>131</v>
      </c>
      <c r="AT401" s="131" t="s">
        <v>129</v>
      </c>
      <c r="AU401" s="131" t="s">
        <v>82</v>
      </c>
      <c r="AY401" s="90" t="s">
        <v>127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90" t="s">
        <v>80</v>
      </c>
      <c r="BK401" s="187">
        <f>ROUND(I401*H401,2)</f>
        <v>0</v>
      </c>
      <c r="BL401" s="90" t="s">
        <v>131</v>
      </c>
      <c r="BM401" s="131" t="s">
        <v>481</v>
      </c>
    </row>
    <row r="402" spans="2:65" s="189" customFormat="1" x14ac:dyDescent="0.2">
      <c r="B402" s="188"/>
      <c r="D402" s="190" t="s">
        <v>132</v>
      </c>
      <c r="E402" s="191" t="s">
        <v>1</v>
      </c>
      <c r="F402" s="192" t="s">
        <v>862</v>
      </c>
      <c r="H402" s="193">
        <v>2</v>
      </c>
      <c r="I402" s="82"/>
      <c r="L402" s="158"/>
      <c r="M402" s="194"/>
      <c r="T402" s="195"/>
      <c r="AT402" s="191" t="s">
        <v>132</v>
      </c>
      <c r="AU402" s="191" t="s">
        <v>82</v>
      </c>
      <c r="AV402" s="189" t="s">
        <v>82</v>
      </c>
      <c r="AW402" s="189" t="s">
        <v>30</v>
      </c>
      <c r="AX402" s="189" t="s">
        <v>72</v>
      </c>
      <c r="AY402" s="191" t="s">
        <v>127</v>
      </c>
    </row>
    <row r="403" spans="2:65" s="198" customFormat="1" x14ac:dyDescent="0.2">
      <c r="B403" s="197"/>
      <c r="D403" s="190" t="s">
        <v>132</v>
      </c>
      <c r="E403" s="199" t="s">
        <v>1</v>
      </c>
      <c r="F403" s="200" t="s">
        <v>133</v>
      </c>
      <c r="H403" s="201">
        <v>2</v>
      </c>
      <c r="I403" s="83"/>
      <c r="L403" s="202"/>
      <c r="M403" s="203"/>
      <c r="T403" s="204"/>
      <c r="AT403" s="199" t="s">
        <v>132</v>
      </c>
      <c r="AU403" s="199" t="s">
        <v>82</v>
      </c>
      <c r="AV403" s="198" t="s">
        <v>131</v>
      </c>
      <c r="AW403" s="198" t="s">
        <v>30</v>
      </c>
      <c r="AX403" s="198" t="s">
        <v>80</v>
      </c>
      <c r="AY403" s="199" t="s">
        <v>127</v>
      </c>
    </row>
    <row r="404" spans="2:65" s="99" customFormat="1" ht="33" customHeight="1" x14ac:dyDescent="0.2">
      <c r="B404" s="98"/>
      <c r="C404" s="214">
        <v>109</v>
      </c>
      <c r="D404" s="214" t="s">
        <v>241</v>
      </c>
      <c r="E404" s="215" t="s">
        <v>482</v>
      </c>
      <c r="F404" s="216" t="s">
        <v>483</v>
      </c>
      <c r="G404" s="217" t="s">
        <v>196</v>
      </c>
      <c r="H404" s="218">
        <v>1</v>
      </c>
      <c r="I404" s="85"/>
      <c r="J404" s="219">
        <f t="shared" ref="J404:J410" si="50">ROUND(I404*H404,2)</f>
        <v>0</v>
      </c>
      <c r="K404" s="220"/>
      <c r="L404" s="246"/>
      <c r="M404" s="221" t="s">
        <v>1</v>
      </c>
      <c r="N404" s="222" t="s">
        <v>38</v>
      </c>
      <c r="P404" s="185">
        <f>O404*H404</f>
        <v>0</v>
      </c>
      <c r="Q404" s="185">
        <v>2.76E-2</v>
      </c>
      <c r="R404" s="185">
        <f>Q404*H404</f>
        <v>2.76E-2</v>
      </c>
      <c r="S404" s="185">
        <v>0</v>
      </c>
      <c r="T404" s="186">
        <f>S404*H404</f>
        <v>0</v>
      </c>
      <c r="AR404" s="131" t="s">
        <v>148</v>
      </c>
      <c r="AT404" s="131" t="s">
        <v>241</v>
      </c>
      <c r="AU404" s="131" t="s">
        <v>82</v>
      </c>
      <c r="AY404" s="90" t="s">
        <v>127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90" t="s">
        <v>80</v>
      </c>
      <c r="BK404" s="187">
        <f>ROUND(I404*H404,2)</f>
        <v>0</v>
      </c>
      <c r="BL404" s="90" t="s">
        <v>131</v>
      </c>
      <c r="BM404" s="131" t="s">
        <v>484</v>
      </c>
    </row>
    <row r="405" spans="2:65" s="99" customFormat="1" ht="24.2" customHeight="1" x14ac:dyDescent="0.2">
      <c r="B405" s="98"/>
      <c r="C405" s="214">
        <v>110</v>
      </c>
      <c r="D405" s="214" t="s">
        <v>241</v>
      </c>
      <c r="E405" s="215" t="s">
        <v>485</v>
      </c>
      <c r="F405" s="216" t="s">
        <v>486</v>
      </c>
      <c r="G405" s="217" t="s">
        <v>196</v>
      </c>
      <c r="H405" s="218">
        <v>1</v>
      </c>
      <c r="I405" s="85"/>
      <c r="J405" s="219">
        <f t="shared" si="50"/>
        <v>0</v>
      </c>
      <c r="K405" s="220"/>
      <c r="L405" s="246"/>
      <c r="M405" s="221" t="s">
        <v>1</v>
      </c>
      <c r="N405" s="222" t="s">
        <v>38</v>
      </c>
      <c r="P405" s="185">
        <f>O405*H405</f>
        <v>0</v>
      </c>
      <c r="Q405" s="185">
        <v>3.2300000000000002E-2</v>
      </c>
      <c r="R405" s="185">
        <f>Q405*H405</f>
        <v>3.2300000000000002E-2</v>
      </c>
      <c r="S405" s="185">
        <v>0</v>
      </c>
      <c r="T405" s="186">
        <f>S405*H405</f>
        <v>0</v>
      </c>
      <c r="AR405" s="131" t="s">
        <v>148</v>
      </c>
      <c r="AT405" s="131" t="s">
        <v>241</v>
      </c>
      <c r="AU405" s="131" t="s">
        <v>82</v>
      </c>
      <c r="AY405" s="90" t="s">
        <v>127</v>
      </c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90" t="s">
        <v>80</v>
      </c>
      <c r="BK405" s="187">
        <f>ROUND(I405*H405,2)</f>
        <v>0</v>
      </c>
      <c r="BL405" s="90" t="s">
        <v>131</v>
      </c>
      <c r="BM405" s="131" t="s">
        <v>487</v>
      </c>
    </row>
    <row r="406" spans="2:65" s="99" customFormat="1" ht="54.75" customHeight="1" x14ac:dyDescent="0.2">
      <c r="B406" s="98"/>
      <c r="C406" s="176">
        <v>111</v>
      </c>
      <c r="D406" s="176" t="s">
        <v>129</v>
      </c>
      <c r="E406" s="177" t="s">
        <v>488</v>
      </c>
      <c r="F406" s="178" t="s">
        <v>1073</v>
      </c>
      <c r="G406" s="179" t="s">
        <v>160</v>
      </c>
      <c r="H406" s="180">
        <f>436+304</f>
        <v>740</v>
      </c>
      <c r="I406" s="80"/>
      <c r="J406" s="181">
        <f t="shared" si="50"/>
        <v>0</v>
      </c>
      <c r="K406" s="182"/>
      <c r="L406" s="196"/>
      <c r="M406" s="183" t="s">
        <v>1</v>
      </c>
      <c r="N406" s="184" t="s">
        <v>38</v>
      </c>
      <c r="P406" s="185">
        <f>O406*H406</f>
        <v>0</v>
      </c>
      <c r="Q406" s="185">
        <v>0</v>
      </c>
      <c r="R406" s="185">
        <f>Q406*H406</f>
        <v>0</v>
      </c>
      <c r="S406" s="185">
        <v>0</v>
      </c>
      <c r="T406" s="186">
        <f>S406*H406</f>
        <v>0</v>
      </c>
      <c r="AR406" s="131" t="s">
        <v>131</v>
      </c>
      <c r="AT406" s="131" t="s">
        <v>129</v>
      </c>
      <c r="AU406" s="131" t="s">
        <v>82</v>
      </c>
      <c r="AY406" s="90" t="s">
        <v>127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90" t="s">
        <v>80</v>
      </c>
      <c r="BK406" s="187">
        <f>ROUND(I406*H406,2)</f>
        <v>0</v>
      </c>
      <c r="BL406" s="90" t="s">
        <v>131</v>
      </c>
      <c r="BM406" s="131" t="s">
        <v>489</v>
      </c>
    </row>
    <row r="407" spans="2:65" s="99" customFormat="1" ht="54.75" customHeight="1" x14ac:dyDescent="0.2">
      <c r="B407" s="98"/>
      <c r="C407" s="176">
        <v>112</v>
      </c>
      <c r="D407" s="176" t="s">
        <v>129</v>
      </c>
      <c r="E407" s="177" t="s">
        <v>490</v>
      </c>
      <c r="F407" s="178" t="s">
        <v>1074</v>
      </c>
      <c r="G407" s="179" t="s">
        <v>160</v>
      </c>
      <c r="H407" s="180">
        <f>246+160+75+116</f>
        <v>597</v>
      </c>
      <c r="I407" s="80"/>
      <c r="J407" s="181">
        <f t="shared" si="50"/>
        <v>0</v>
      </c>
      <c r="K407" s="182"/>
      <c r="L407" s="196"/>
      <c r="M407" s="183" t="s">
        <v>1</v>
      </c>
      <c r="N407" s="184" t="s">
        <v>38</v>
      </c>
      <c r="P407" s="185">
        <f>O407*H407</f>
        <v>0</v>
      </c>
      <c r="Q407" s="185">
        <v>0</v>
      </c>
      <c r="R407" s="185">
        <f>Q407*H407</f>
        <v>0</v>
      </c>
      <c r="S407" s="185">
        <v>0</v>
      </c>
      <c r="T407" s="186">
        <f>S407*H407</f>
        <v>0</v>
      </c>
      <c r="AR407" s="131" t="s">
        <v>131</v>
      </c>
      <c r="AT407" s="131" t="s">
        <v>129</v>
      </c>
      <c r="AU407" s="131" t="s">
        <v>82</v>
      </c>
      <c r="AY407" s="90" t="s">
        <v>127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90" t="s">
        <v>80</v>
      </c>
      <c r="BK407" s="187">
        <f>ROUND(I407*H407,2)</f>
        <v>0</v>
      </c>
      <c r="BL407" s="90" t="s">
        <v>131</v>
      </c>
      <c r="BM407" s="131" t="s">
        <v>491</v>
      </c>
    </row>
    <row r="408" spans="2:65" s="99" customFormat="1" ht="54.75" customHeight="1" x14ac:dyDescent="0.2">
      <c r="B408" s="98"/>
      <c r="C408" s="176">
        <v>113</v>
      </c>
      <c r="D408" s="176" t="s">
        <v>129</v>
      </c>
      <c r="E408" s="177" t="s">
        <v>892</v>
      </c>
      <c r="F408" s="178" t="s">
        <v>1075</v>
      </c>
      <c r="G408" s="179" t="s">
        <v>160</v>
      </c>
      <c r="H408" s="180">
        <f>55+63</f>
        <v>118</v>
      </c>
      <c r="I408" s="80"/>
      <c r="J408" s="181">
        <f t="shared" si="50"/>
        <v>0</v>
      </c>
      <c r="K408" s="182"/>
      <c r="L408" s="196"/>
      <c r="M408" s="183" t="s">
        <v>1</v>
      </c>
      <c r="N408" s="184" t="s">
        <v>38</v>
      </c>
      <c r="P408" s="185">
        <f>O408*H408</f>
        <v>0</v>
      </c>
      <c r="Q408" s="185">
        <v>0</v>
      </c>
      <c r="R408" s="185">
        <f>Q408*H408</f>
        <v>0</v>
      </c>
      <c r="S408" s="185">
        <v>0</v>
      </c>
      <c r="T408" s="186">
        <f>S408*H408</f>
        <v>0</v>
      </c>
      <c r="AR408" s="131" t="s">
        <v>131</v>
      </c>
      <c r="AT408" s="131" t="s">
        <v>129</v>
      </c>
      <c r="AU408" s="131" t="s">
        <v>82</v>
      </c>
      <c r="AY408" s="90" t="s">
        <v>127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90" t="s">
        <v>80</v>
      </c>
      <c r="BK408" s="187">
        <f>ROUND(I408*H408,2)</f>
        <v>0</v>
      </c>
      <c r="BL408" s="90" t="s">
        <v>131</v>
      </c>
      <c r="BM408" s="131" t="s">
        <v>491</v>
      </c>
    </row>
    <row r="409" spans="2:65" s="198" customFormat="1" ht="52.5" customHeight="1" x14ac:dyDescent="0.2">
      <c r="B409" s="197"/>
      <c r="C409" s="176">
        <v>114</v>
      </c>
      <c r="D409" s="176" t="s">
        <v>129</v>
      </c>
      <c r="E409" s="177" t="s">
        <v>893</v>
      </c>
      <c r="F409" s="178" t="s">
        <v>887</v>
      </c>
      <c r="G409" s="179" t="s">
        <v>886</v>
      </c>
      <c r="H409" s="180">
        <v>64</v>
      </c>
      <c r="I409" s="80"/>
      <c r="J409" s="181">
        <f t="shared" si="50"/>
        <v>0</v>
      </c>
      <c r="K409" s="182"/>
      <c r="L409" s="202"/>
      <c r="M409" s="203"/>
      <c r="T409" s="204"/>
      <c r="AT409" s="199"/>
      <c r="AU409" s="199"/>
      <c r="AY409" s="199"/>
    </row>
    <row r="410" spans="2:65" s="99" customFormat="1" ht="21.75" customHeight="1" x14ac:dyDescent="0.2">
      <c r="B410" s="98"/>
      <c r="C410" s="176">
        <v>115</v>
      </c>
      <c r="D410" s="176" t="s">
        <v>129</v>
      </c>
      <c r="E410" s="177" t="s">
        <v>492</v>
      </c>
      <c r="F410" s="178" t="s">
        <v>493</v>
      </c>
      <c r="G410" s="179" t="s">
        <v>196</v>
      </c>
      <c r="H410" s="180">
        <v>21</v>
      </c>
      <c r="I410" s="80"/>
      <c r="J410" s="181">
        <f t="shared" si="50"/>
        <v>0</v>
      </c>
      <c r="K410" s="182"/>
      <c r="L410" s="196"/>
      <c r="M410" s="183" t="s">
        <v>1</v>
      </c>
      <c r="N410" s="184" t="s">
        <v>38</v>
      </c>
      <c r="P410" s="185">
        <f>O410*H410</f>
        <v>0</v>
      </c>
      <c r="Q410" s="185">
        <v>1.6199999999999999E-3</v>
      </c>
      <c r="R410" s="185">
        <f>Q410*H410</f>
        <v>3.4019999999999995E-2</v>
      </c>
      <c r="S410" s="185">
        <v>0</v>
      </c>
      <c r="T410" s="186">
        <f>S410*H410</f>
        <v>0</v>
      </c>
      <c r="AR410" s="131" t="s">
        <v>131</v>
      </c>
      <c r="AT410" s="131" t="s">
        <v>129</v>
      </c>
      <c r="AU410" s="131" t="s">
        <v>82</v>
      </c>
      <c r="AY410" s="90" t="s">
        <v>127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90" t="s">
        <v>80</v>
      </c>
      <c r="BK410" s="187">
        <f>ROUND(I410*H410,2)</f>
        <v>0</v>
      </c>
      <c r="BL410" s="90" t="s">
        <v>131</v>
      </c>
      <c r="BM410" s="131" t="s">
        <v>494</v>
      </c>
    </row>
    <row r="411" spans="2:65" s="189" customFormat="1" x14ac:dyDescent="0.2">
      <c r="B411" s="188"/>
      <c r="D411" s="190" t="s">
        <v>132</v>
      </c>
      <c r="E411" s="191" t="s">
        <v>1</v>
      </c>
      <c r="F411" s="192" t="s">
        <v>495</v>
      </c>
      <c r="H411" s="193">
        <v>21</v>
      </c>
      <c r="I411" s="82"/>
      <c r="L411" s="158"/>
      <c r="M411" s="194"/>
      <c r="T411" s="195"/>
      <c r="AT411" s="191" t="s">
        <v>132</v>
      </c>
      <c r="AU411" s="191" t="s">
        <v>82</v>
      </c>
      <c r="AV411" s="189" t="s">
        <v>82</v>
      </c>
      <c r="AW411" s="189" t="s">
        <v>30</v>
      </c>
      <c r="AX411" s="189" t="s">
        <v>72</v>
      </c>
      <c r="AY411" s="191" t="s">
        <v>127</v>
      </c>
    </row>
    <row r="412" spans="2:65" s="198" customFormat="1" x14ac:dyDescent="0.2">
      <c r="B412" s="197"/>
      <c r="D412" s="190" t="s">
        <v>132</v>
      </c>
      <c r="E412" s="199" t="s">
        <v>1</v>
      </c>
      <c r="F412" s="200" t="s">
        <v>133</v>
      </c>
      <c r="H412" s="201">
        <v>21</v>
      </c>
      <c r="I412" s="83"/>
      <c r="L412" s="202"/>
      <c r="M412" s="203"/>
      <c r="T412" s="204"/>
      <c r="AT412" s="199" t="s">
        <v>132</v>
      </c>
      <c r="AU412" s="199" t="s">
        <v>82</v>
      </c>
      <c r="AV412" s="198" t="s">
        <v>131</v>
      </c>
      <c r="AW412" s="198" t="s">
        <v>30</v>
      </c>
      <c r="AX412" s="198" t="s">
        <v>80</v>
      </c>
      <c r="AY412" s="199" t="s">
        <v>127</v>
      </c>
    </row>
    <row r="413" spans="2:65" s="99" customFormat="1" ht="26.25" customHeight="1" x14ac:dyDescent="0.2">
      <c r="B413" s="98"/>
      <c r="C413" s="214">
        <v>116</v>
      </c>
      <c r="D413" s="214" t="s">
        <v>241</v>
      </c>
      <c r="E413" s="215"/>
      <c r="F413" s="247" t="s">
        <v>863</v>
      </c>
      <c r="G413" s="217" t="s">
        <v>196</v>
      </c>
      <c r="H413" s="218">
        <v>21</v>
      </c>
      <c r="I413" s="85"/>
      <c r="J413" s="219">
        <f>ROUND(I413*H413,2)</f>
        <v>0</v>
      </c>
      <c r="K413" s="220"/>
      <c r="L413" s="246"/>
      <c r="M413" s="221" t="s">
        <v>1</v>
      </c>
      <c r="N413" s="222" t="s">
        <v>38</v>
      </c>
      <c r="P413" s="185">
        <f>O413*H413</f>
        <v>0</v>
      </c>
      <c r="Q413" s="185">
        <v>1.847E-2</v>
      </c>
      <c r="R413" s="185">
        <f>Q413*H413</f>
        <v>0.38786999999999999</v>
      </c>
      <c r="S413" s="185">
        <v>0</v>
      </c>
      <c r="T413" s="186">
        <f>S413*H413</f>
        <v>0</v>
      </c>
      <c r="AR413" s="131" t="s">
        <v>148</v>
      </c>
      <c r="AT413" s="131" t="s">
        <v>241</v>
      </c>
      <c r="AU413" s="131" t="s">
        <v>82</v>
      </c>
      <c r="AY413" s="90" t="s">
        <v>127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90" t="s">
        <v>80</v>
      </c>
      <c r="BK413" s="187">
        <f>ROUND(I413*H413,2)</f>
        <v>0</v>
      </c>
      <c r="BL413" s="90" t="s">
        <v>131</v>
      </c>
      <c r="BM413" s="131" t="s">
        <v>496</v>
      </c>
    </row>
    <row r="414" spans="2:65" s="99" customFormat="1" ht="26.25" customHeight="1" x14ac:dyDescent="0.2">
      <c r="B414" s="98"/>
      <c r="C414" s="214">
        <v>117</v>
      </c>
      <c r="D414" s="214" t="s">
        <v>241</v>
      </c>
      <c r="E414" s="215"/>
      <c r="F414" s="247" t="s">
        <v>864</v>
      </c>
      <c r="G414" s="217" t="s">
        <v>196</v>
      </c>
      <c r="H414" s="218">
        <v>21</v>
      </c>
      <c r="I414" s="85"/>
      <c r="J414" s="219">
        <f>ROUND(I414*H414,2)</f>
        <v>0</v>
      </c>
      <c r="K414" s="220"/>
      <c r="L414" s="246"/>
      <c r="M414" s="221" t="s">
        <v>1</v>
      </c>
      <c r="N414" s="222" t="s">
        <v>38</v>
      </c>
      <c r="P414" s="185">
        <f>O414*H414</f>
        <v>0</v>
      </c>
      <c r="Q414" s="185">
        <v>3.5000000000000001E-3</v>
      </c>
      <c r="R414" s="185">
        <f>Q414*H414</f>
        <v>7.3499999999999996E-2</v>
      </c>
      <c r="S414" s="185">
        <v>0</v>
      </c>
      <c r="T414" s="186">
        <f>S414*H414</f>
        <v>0</v>
      </c>
      <c r="AR414" s="131" t="s">
        <v>148</v>
      </c>
      <c r="AT414" s="131" t="s">
        <v>241</v>
      </c>
      <c r="AU414" s="131" t="s">
        <v>82</v>
      </c>
      <c r="AY414" s="90" t="s">
        <v>127</v>
      </c>
      <c r="BE414" s="187">
        <f>IF(N414="základní",J414,0)</f>
        <v>0</v>
      </c>
      <c r="BF414" s="187">
        <f>IF(N414="snížená",J414,0)</f>
        <v>0</v>
      </c>
      <c r="BG414" s="187">
        <f>IF(N414="zákl. přenesená",J414,0)</f>
        <v>0</v>
      </c>
      <c r="BH414" s="187">
        <f>IF(N414="sníž. přenesená",J414,0)</f>
        <v>0</v>
      </c>
      <c r="BI414" s="187">
        <f>IF(N414="nulová",J414,0)</f>
        <v>0</v>
      </c>
      <c r="BJ414" s="90" t="s">
        <v>80</v>
      </c>
      <c r="BK414" s="187">
        <f>ROUND(I414*H414,2)</f>
        <v>0</v>
      </c>
      <c r="BL414" s="90" t="s">
        <v>131</v>
      </c>
      <c r="BM414" s="131" t="s">
        <v>497</v>
      </c>
    </row>
    <row r="415" spans="2:65" s="99" customFormat="1" ht="24.2" customHeight="1" x14ac:dyDescent="0.2">
      <c r="B415" s="98"/>
      <c r="C415" s="176">
        <v>118</v>
      </c>
      <c r="D415" s="176" t="s">
        <v>129</v>
      </c>
      <c r="E415" s="177" t="s">
        <v>498</v>
      </c>
      <c r="F415" s="178" t="s">
        <v>499</v>
      </c>
      <c r="G415" s="179" t="s">
        <v>196</v>
      </c>
      <c r="H415" s="180">
        <v>1</v>
      </c>
      <c r="I415" s="80"/>
      <c r="J415" s="181">
        <f>ROUND(I415*H415,2)</f>
        <v>0</v>
      </c>
      <c r="K415" s="182"/>
      <c r="L415" s="196"/>
      <c r="M415" s="183" t="s">
        <v>1</v>
      </c>
      <c r="N415" s="184" t="s">
        <v>38</v>
      </c>
      <c r="P415" s="185">
        <f>O415*H415</f>
        <v>0</v>
      </c>
      <c r="Q415" s="185">
        <v>1.6199999999999999E-3</v>
      </c>
      <c r="R415" s="185">
        <f>Q415*H415</f>
        <v>1.6199999999999999E-3</v>
      </c>
      <c r="S415" s="185">
        <v>0</v>
      </c>
      <c r="T415" s="186">
        <f>S415*H415</f>
        <v>0</v>
      </c>
      <c r="AR415" s="131" t="s">
        <v>131</v>
      </c>
      <c r="AT415" s="131" t="s">
        <v>129</v>
      </c>
      <c r="AU415" s="131" t="s">
        <v>82</v>
      </c>
      <c r="AY415" s="90" t="s">
        <v>127</v>
      </c>
      <c r="BE415" s="187">
        <f>IF(N415="základní",J415,0)</f>
        <v>0</v>
      </c>
      <c r="BF415" s="187">
        <f>IF(N415="snížená",J415,0)</f>
        <v>0</v>
      </c>
      <c r="BG415" s="187">
        <f>IF(N415="zákl. přenesená",J415,0)</f>
        <v>0</v>
      </c>
      <c r="BH415" s="187">
        <f>IF(N415="sníž. přenesená",J415,0)</f>
        <v>0</v>
      </c>
      <c r="BI415" s="187">
        <f>IF(N415="nulová",J415,0)</f>
        <v>0</v>
      </c>
      <c r="BJ415" s="90" t="s">
        <v>80</v>
      </c>
      <c r="BK415" s="187">
        <f>ROUND(I415*H415,2)</f>
        <v>0</v>
      </c>
      <c r="BL415" s="90" t="s">
        <v>131</v>
      </c>
      <c r="BM415" s="131" t="s">
        <v>500</v>
      </c>
    </row>
    <row r="416" spans="2:65" s="189" customFormat="1" x14ac:dyDescent="0.2">
      <c r="B416" s="188"/>
      <c r="D416" s="190" t="s">
        <v>132</v>
      </c>
      <c r="E416" s="191" t="s">
        <v>1</v>
      </c>
      <c r="F416" s="192" t="s">
        <v>312</v>
      </c>
      <c r="H416" s="193">
        <v>1</v>
      </c>
      <c r="I416" s="82"/>
      <c r="L416" s="158"/>
      <c r="M416" s="194"/>
      <c r="T416" s="195"/>
      <c r="AT416" s="191" t="s">
        <v>132</v>
      </c>
      <c r="AU416" s="191" t="s">
        <v>82</v>
      </c>
      <c r="AV416" s="189" t="s">
        <v>82</v>
      </c>
      <c r="AW416" s="189" t="s">
        <v>30</v>
      </c>
      <c r="AX416" s="189" t="s">
        <v>72</v>
      </c>
      <c r="AY416" s="191" t="s">
        <v>127</v>
      </c>
    </row>
    <row r="417" spans="2:65" s="198" customFormat="1" x14ac:dyDescent="0.2">
      <c r="B417" s="197"/>
      <c r="D417" s="190" t="s">
        <v>132</v>
      </c>
      <c r="E417" s="199" t="s">
        <v>1</v>
      </c>
      <c r="F417" s="200" t="s">
        <v>133</v>
      </c>
      <c r="H417" s="201">
        <v>1</v>
      </c>
      <c r="I417" s="83"/>
      <c r="L417" s="202"/>
      <c r="M417" s="203"/>
      <c r="T417" s="204"/>
      <c r="AT417" s="199" t="s">
        <v>132</v>
      </c>
      <c r="AU417" s="199" t="s">
        <v>82</v>
      </c>
      <c r="AV417" s="198" t="s">
        <v>131</v>
      </c>
      <c r="AW417" s="198" t="s">
        <v>30</v>
      </c>
      <c r="AX417" s="198" t="s">
        <v>80</v>
      </c>
      <c r="AY417" s="199" t="s">
        <v>127</v>
      </c>
    </row>
    <row r="418" spans="2:65" s="99" customFormat="1" ht="39" customHeight="1" x14ac:dyDescent="0.2">
      <c r="B418" s="98"/>
      <c r="C418" s="214">
        <v>119</v>
      </c>
      <c r="D418" s="214" t="s">
        <v>241</v>
      </c>
      <c r="E418" s="215" t="s">
        <v>501</v>
      </c>
      <c r="F418" s="247" t="s">
        <v>865</v>
      </c>
      <c r="G418" s="217" t="s">
        <v>196</v>
      </c>
      <c r="H418" s="218">
        <v>1</v>
      </c>
      <c r="I418" s="85"/>
      <c r="J418" s="219">
        <f t="shared" ref="J418:J427" si="51">ROUND(I418*H418,2)</f>
        <v>0</v>
      </c>
      <c r="K418" s="220"/>
      <c r="L418" s="246"/>
      <c r="M418" s="221" t="s">
        <v>1</v>
      </c>
      <c r="N418" s="222" t="s">
        <v>38</v>
      </c>
      <c r="P418" s="185">
        <f t="shared" ref="P418:P427" si="52">O418*H418</f>
        <v>0</v>
      </c>
      <c r="Q418" s="185">
        <v>1.7999999999999999E-2</v>
      </c>
      <c r="R418" s="185">
        <f t="shared" ref="R418:R427" si="53">Q418*H418</f>
        <v>1.7999999999999999E-2</v>
      </c>
      <c r="S418" s="185">
        <v>0</v>
      </c>
      <c r="T418" s="186">
        <f t="shared" ref="T418:T427" si="54">S418*H418</f>
        <v>0</v>
      </c>
      <c r="AR418" s="131" t="s">
        <v>148</v>
      </c>
      <c r="AT418" s="131" t="s">
        <v>241</v>
      </c>
      <c r="AU418" s="131" t="s">
        <v>82</v>
      </c>
      <c r="AY418" s="90" t="s">
        <v>127</v>
      </c>
      <c r="BE418" s="187">
        <f t="shared" ref="BE418:BE427" si="55">IF(N418="základní",J418,0)</f>
        <v>0</v>
      </c>
      <c r="BF418" s="187">
        <f t="shared" ref="BF418:BF427" si="56">IF(N418="snížená",J418,0)</f>
        <v>0</v>
      </c>
      <c r="BG418" s="187">
        <f t="shared" ref="BG418:BG427" si="57">IF(N418="zákl. přenesená",J418,0)</f>
        <v>0</v>
      </c>
      <c r="BH418" s="187">
        <f t="shared" ref="BH418:BH427" si="58">IF(N418="sníž. přenesená",J418,0)</f>
        <v>0</v>
      </c>
      <c r="BI418" s="187">
        <f t="shared" ref="BI418:BI427" si="59">IF(N418="nulová",J418,0)</f>
        <v>0</v>
      </c>
      <c r="BJ418" s="90" t="s">
        <v>80</v>
      </c>
      <c r="BK418" s="187">
        <f t="shared" ref="BK418:BK427" si="60">ROUND(I418*H418,2)</f>
        <v>0</v>
      </c>
      <c r="BL418" s="90" t="s">
        <v>131</v>
      </c>
      <c r="BM418" s="131" t="s">
        <v>502</v>
      </c>
    </row>
    <row r="419" spans="2:65" s="99" customFormat="1" ht="39" customHeight="1" x14ac:dyDescent="0.2">
      <c r="B419" s="98"/>
      <c r="C419" s="214">
        <v>120</v>
      </c>
      <c r="D419" s="214" t="s">
        <v>241</v>
      </c>
      <c r="E419" s="215" t="s">
        <v>503</v>
      </c>
      <c r="F419" s="247" t="s">
        <v>866</v>
      </c>
      <c r="G419" s="217" t="s">
        <v>196</v>
      </c>
      <c r="H419" s="218">
        <v>1</v>
      </c>
      <c r="I419" s="85"/>
      <c r="J419" s="219">
        <f t="shared" si="51"/>
        <v>0</v>
      </c>
      <c r="K419" s="220"/>
      <c r="L419" s="246"/>
      <c r="M419" s="221" t="s">
        <v>1</v>
      </c>
      <c r="N419" s="222" t="s">
        <v>38</v>
      </c>
      <c r="P419" s="185">
        <f t="shared" si="52"/>
        <v>0</v>
      </c>
      <c r="Q419" s="185">
        <v>1.5E-3</v>
      </c>
      <c r="R419" s="185">
        <f t="shared" si="53"/>
        <v>1.5E-3</v>
      </c>
      <c r="S419" s="185">
        <v>0</v>
      </c>
      <c r="T419" s="186">
        <f t="shared" si="54"/>
        <v>0</v>
      </c>
      <c r="AR419" s="131" t="s">
        <v>148</v>
      </c>
      <c r="AT419" s="131" t="s">
        <v>241</v>
      </c>
      <c r="AU419" s="131" t="s">
        <v>82</v>
      </c>
      <c r="AY419" s="90" t="s">
        <v>127</v>
      </c>
      <c r="BE419" s="187">
        <f t="shared" si="55"/>
        <v>0</v>
      </c>
      <c r="BF419" s="187">
        <f t="shared" si="56"/>
        <v>0</v>
      </c>
      <c r="BG419" s="187">
        <f t="shared" si="57"/>
        <v>0</v>
      </c>
      <c r="BH419" s="187">
        <f t="shared" si="58"/>
        <v>0</v>
      </c>
      <c r="BI419" s="187">
        <f t="shared" si="59"/>
        <v>0</v>
      </c>
      <c r="BJ419" s="90" t="s">
        <v>80</v>
      </c>
      <c r="BK419" s="187">
        <f t="shared" si="60"/>
        <v>0</v>
      </c>
      <c r="BL419" s="90" t="s">
        <v>131</v>
      </c>
      <c r="BM419" s="131" t="s">
        <v>504</v>
      </c>
    </row>
    <row r="420" spans="2:65" s="99" customFormat="1" ht="21.75" customHeight="1" x14ac:dyDescent="0.2">
      <c r="B420" s="98"/>
      <c r="C420" s="176">
        <v>121</v>
      </c>
      <c r="D420" s="176" t="s">
        <v>129</v>
      </c>
      <c r="E420" s="177" t="s">
        <v>505</v>
      </c>
      <c r="F420" s="178" t="s">
        <v>506</v>
      </c>
      <c r="G420" s="179" t="s">
        <v>196</v>
      </c>
      <c r="H420" s="180">
        <v>11</v>
      </c>
      <c r="I420" s="80"/>
      <c r="J420" s="181">
        <f t="shared" si="51"/>
        <v>0</v>
      </c>
      <c r="K420" s="182"/>
      <c r="L420" s="196"/>
      <c r="M420" s="183" t="s">
        <v>1</v>
      </c>
      <c r="N420" s="184" t="s">
        <v>38</v>
      </c>
      <c r="P420" s="185">
        <f t="shared" si="52"/>
        <v>0</v>
      </c>
      <c r="Q420" s="185">
        <v>0</v>
      </c>
      <c r="R420" s="185">
        <f t="shared" si="53"/>
        <v>0</v>
      </c>
      <c r="S420" s="185">
        <v>1.7299999999999999E-2</v>
      </c>
      <c r="T420" s="186">
        <f t="shared" si="54"/>
        <v>0.1903</v>
      </c>
      <c r="AR420" s="131" t="s">
        <v>131</v>
      </c>
      <c r="AT420" s="131" t="s">
        <v>129</v>
      </c>
      <c r="AU420" s="131" t="s">
        <v>82</v>
      </c>
      <c r="AY420" s="90" t="s">
        <v>127</v>
      </c>
      <c r="BE420" s="187">
        <f t="shared" si="55"/>
        <v>0</v>
      </c>
      <c r="BF420" s="187">
        <f t="shared" si="56"/>
        <v>0</v>
      </c>
      <c r="BG420" s="187">
        <f t="shared" si="57"/>
        <v>0</v>
      </c>
      <c r="BH420" s="187">
        <f t="shared" si="58"/>
        <v>0</v>
      </c>
      <c r="BI420" s="187">
        <f t="shared" si="59"/>
        <v>0</v>
      </c>
      <c r="BJ420" s="90" t="s">
        <v>80</v>
      </c>
      <c r="BK420" s="187">
        <f t="shared" si="60"/>
        <v>0</v>
      </c>
      <c r="BL420" s="90" t="s">
        <v>131</v>
      </c>
      <c r="BM420" s="131" t="s">
        <v>507</v>
      </c>
    </row>
    <row r="421" spans="2:65" s="99" customFormat="1" ht="24.2" customHeight="1" x14ac:dyDescent="0.2">
      <c r="B421" s="98"/>
      <c r="C421" s="176">
        <v>122</v>
      </c>
      <c r="D421" s="176" t="s">
        <v>129</v>
      </c>
      <c r="E421" s="177" t="s">
        <v>508</v>
      </c>
      <c r="F421" s="178" t="s">
        <v>509</v>
      </c>
      <c r="G421" s="179" t="s">
        <v>196</v>
      </c>
      <c r="H421" s="180">
        <f>H422</f>
        <v>2</v>
      </c>
      <c r="I421" s="80"/>
      <c r="J421" s="181">
        <f t="shared" si="51"/>
        <v>0</v>
      </c>
      <c r="K421" s="182"/>
      <c r="L421" s="196"/>
      <c r="M421" s="183" t="s">
        <v>1</v>
      </c>
      <c r="N421" s="184" t="s">
        <v>38</v>
      </c>
      <c r="P421" s="185">
        <f t="shared" si="52"/>
        <v>0</v>
      </c>
      <c r="Q421" s="185">
        <v>1.6299999999999999E-3</v>
      </c>
      <c r="R421" s="185">
        <f t="shared" si="53"/>
        <v>3.2599999999999999E-3</v>
      </c>
      <c r="S421" s="185">
        <v>0</v>
      </c>
      <c r="T421" s="186">
        <f t="shared" si="54"/>
        <v>0</v>
      </c>
      <c r="AR421" s="131" t="s">
        <v>131</v>
      </c>
      <c r="AT421" s="131" t="s">
        <v>129</v>
      </c>
      <c r="AU421" s="131" t="s">
        <v>82</v>
      </c>
      <c r="AY421" s="90" t="s">
        <v>127</v>
      </c>
      <c r="BE421" s="187">
        <f t="shared" si="55"/>
        <v>0</v>
      </c>
      <c r="BF421" s="187">
        <f t="shared" si="56"/>
        <v>0</v>
      </c>
      <c r="BG421" s="187">
        <f t="shared" si="57"/>
        <v>0</v>
      </c>
      <c r="BH421" s="187">
        <f t="shared" si="58"/>
        <v>0</v>
      </c>
      <c r="BI421" s="187">
        <f t="shared" si="59"/>
        <v>0</v>
      </c>
      <c r="BJ421" s="90" t="s">
        <v>80</v>
      </c>
      <c r="BK421" s="187">
        <f t="shared" si="60"/>
        <v>0</v>
      </c>
      <c r="BL421" s="90" t="s">
        <v>131</v>
      </c>
      <c r="BM421" s="131" t="s">
        <v>510</v>
      </c>
    </row>
    <row r="422" spans="2:65" s="99" customFormat="1" ht="30.75" customHeight="1" x14ac:dyDescent="0.2">
      <c r="B422" s="98"/>
      <c r="C422" s="214">
        <v>123</v>
      </c>
      <c r="D422" s="214" t="s">
        <v>241</v>
      </c>
      <c r="E422" s="215" t="s">
        <v>511</v>
      </c>
      <c r="F422" s="247" t="s">
        <v>867</v>
      </c>
      <c r="G422" s="217" t="s">
        <v>196</v>
      </c>
      <c r="H422" s="218">
        <v>2</v>
      </c>
      <c r="I422" s="85"/>
      <c r="J422" s="219">
        <f t="shared" si="51"/>
        <v>0</v>
      </c>
      <c r="K422" s="220"/>
      <c r="L422" s="246"/>
      <c r="M422" s="221" t="s">
        <v>1</v>
      </c>
      <c r="N422" s="222" t="s">
        <v>38</v>
      </c>
      <c r="P422" s="185">
        <f t="shared" si="52"/>
        <v>0</v>
      </c>
      <c r="Q422" s="185">
        <v>8.6999999999999994E-3</v>
      </c>
      <c r="R422" s="185">
        <f t="shared" si="53"/>
        <v>1.7399999999999999E-2</v>
      </c>
      <c r="S422" s="185">
        <v>0</v>
      </c>
      <c r="T422" s="186">
        <f t="shared" si="54"/>
        <v>0</v>
      </c>
      <c r="AR422" s="131" t="s">
        <v>148</v>
      </c>
      <c r="AT422" s="131" t="s">
        <v>241</v>
      </c>
      <c r="AU422" s="131" t="s">
        <v>82</v>
      </c>
      <c r="AY422" s="90" t="s">
        <v>127</v>
      </c>
      <c r="BE422" s="187">
        <f t="shared" si="55"/>
        <v>0</v>
      </c>
      <c r="BF422" s="187">
        <f t="shared" si="56"/>
        <v>0</v>
      </c>
      <c r="BG422" s="187">
        <f t="shared" si="57"/>
        <v>0</v>
      </c>
      <c r="BH422" s="187">
        <f t="shared" si="58"/>
        <v>0</v>
      </c>
      <c r="BI422" s="187">
        <f t="shared" si="59"/>
        <v>0</v>
      </c>
      <c r="BJ422" s="90" t="s">
        <v>80</v>
      </c>
      <c r="BK422" s="187">
        <f t="shared" si="60"/>
        <v>0</v>
      </c>
      <c r="BL422" s="90" t="s">
        <v>131</v>
      </c>
      <c r="BM422" s="131" t="s">
        <v>512</v>
      </c>
    </row>
    <row r="423" spans="2:65" s="99" customFormat="1" ht="16.5" customHeight="1" x14ac:dyDescent="0.2">
      <c r="B423" s="98"/>
      <c r="C423" s="176">
        <v>124</v>
      </c>
      <c r="D423" s="176" t="s">
        <v>129</v>
      </c>
      <c r="E423" s="177" t="s">
        <v>513</v>
      </c>
      <c r="F423" s="178" t="s">
        <v>514</v>
      </c>
      <c r="G423" s="179" t="s">
        <v>196</v>
      </c>
      <c r="H423" s="180">
        <v>9</v>
      </c>
      <c r="I423" s="80"/>
      <c r="J423" s="181">
        <f t="shared" si="51"/>
        <v>0</v>
      </c>
      <c r="K423" s="182"/>
      <c r="L423" s="196"/>
      <c r="M423" s="183" t="s">
        <v>1</v>
      </c>
      <c r="N423" s="184" t="s">
        <v>38</v>
      </c>
      <c r="P423" s="185">
        <f t="shared" si="52"/>
        <v>0</v>
      </c>
      <c r="Q423" s="185">
        <v>1.3600000000000001E-3</v>
      </c>
      <c r="R423" s="185">
        <f t="shared" si="53"/>
        <v>1.2240000000000001E-2</v>
      </c>
      <c r="S423" s="185">
        <v>0</v>
      </c>
      <c r="T423" s="186">
        <f t="shared" si="54"/>
        <v>0</v>
      </c>
      <c r="AR423" s="131" t="s">
        <v>131</v>
      </c>
      <c r="AT423" s="131" t="s">
        <v>129</v>
      </c>
      <c r="AU423" s="131" t="s">
        <v>82</v>
      </c>
      <c r="AY423" s="90" t="s">
        <v>127</v>
      </c>
      <c r="BE423" s="187">
        <f t="shared" si="55"/>
        <v>0</v>
      </c>
      <c r="BF423" s="187">
        <f t="shared" si="56"/>
        <v>0</v>
      </c>
      <c r="BG423" s="187">
        <f t="shared" si="57"/>
        <v>0</v>
      </c>
      <c r="BH423" s="187">
        <f t="shared" si="58"/>
        <v>0</v>
      </c>
      <c r="BI423" s="187">
        <f t="shared" si="59"/>
        <v>0</v>
      </c>
      <c r="BJ423" s="90" t="s">
        <v>80</v>
      </c>
      <c r="BK423" s="187">
        <f t="shared" si="60"/>
        <v>0</v>
      </c>
      <c r="BL423" s="90" t="s">
        <v>131</v>
      </c>
      <c r="BM423" s="131" t="s">
        <v>515</v>
      </c>
    </row>
    <row r="424" spans="2:65" s="99" customFormat="1" ht="30" customHeight="1" x14ac:dyDescent="0.2">
      <c r="B424" s="98"/>
      <c r="C424" s="214">
        <v>125</v>
      </c>
      <c r="D424" s="214" t="s">
        <v>241</v>
      </c>
      <c r="E424" s="215" t="s">
        <v>516</v>
      </c>
      <c r="F424" s="247" t="s">
        <v>1062</v>
      </c>
      <c r="G424" s="217" t="s">
        <v>196</v>
      </c>
      <c r="H424" s="218">
        <v>1</v>
      </c>
      <c r="I424" s="85"/>
      <c r="J424" s="219">
        <f t="shared" si="51"/>
        <v>0</v>
      </c>
      <c r="K424" s="220"/>
      <c r="L424" s="246"/>
      <c r="M424" s="221" t="s">
        <v>1</v>
      </c>
      <c r="N424" s="222" t="s">
        <v>38</v>
      </c>
      <c r="P424" s="185">
        <f t="shared" si="52"/>
        <v>0</v>
      </c>
      <c r="Q424" s="185">
        <v>3.2500000000000001E-2</v>
      </c>
      <c r="R424" s="185">
        <f t="shared" si="53"/>
        <v>3.2500000000000001E-2</v>
      </c>
      <c r="S424" s="185">
        <v>0</v>
      </c>
      <c r="T424" s="186">
        <f t="shared" si="54"/>
        <v>0</v>
      </c>
      <c r="AR424" s="131" t="s">
        <v>148</v>
      </c>
      <c r="AT424" s="131" t="s">
        <v>241</v>
      </c>
      <c r="AU424" s="131" t="s">
        <v>82</v>
      </c>
      <c r="AY424" s="90" t="s">
        <v>127</v>
      </c>
      <c r="BE424" s="187">
        <f t="shared" si="55"/>
        <v>0</v>
      </c>
      <c r="BF424" s="187">
        <f t="shared" si="56"/>
        <v>0</v>
      </c>
      <c r="BG424" s="187">
        <f t="shared" si="57"/>
        <v>0</v>
      </c>
      <c r="BH424" s="187">
        <f t="shared" si="58"/>
        <v>0</v>
      </c>
      <c r="BI424" s="187">
        <f t="shared" si="59"/>
        <v>0</v>
      </c>
      <c r="BJ424" s="90" t="s">
        <v>80</v>
      </c>
      <c r="BK424" s="187">
        <f t="shared" si="60"/>
        <v>0</v>
      </c>
      <c r="BL424" s="90" t="s">
        <v>131</v>
      </c>
      <c r="BM424" s="131" t="s">
        <v>517</v>
      </c>
    </row>
    <row r="425" spans="2:65" s="99" customFormat="1" ht="30" customHeight="1" x14ac:dyDescent="0.2">
      <c r="B425" s="98"/>
      <c r="C425" s="214">
        <v>126</v>
      </c>
      <c r="D425" s="214" t="s">
        <v>241</v>
      </c>
      <c r="E425" s="215" t="s">
        <v>518</v>
      </c>
      <c r="F425" s="247" t="s">
        <v>868</v>
      </c>
      <c r="G425" s="217" t="s">
        <v>196</v>
      </c>
      <c r="H425" s="218">
        <v>5</v>
      </c>
      <c r="I425" s="85"/>
      <c r="J425" s="219">
        <f t="shared" si="51"/>
        <v>0</v>
      </c>
      <c r="K425" s="220"/>
      <c r="L425" s="246"/>
      <c r="M425" s="221" t="s">
        <v>1</v>
      </c>
      <c r="N425" s="222" t="s">
        <v>38</v>
      </c>
      <c r="P425" s="185">
        <f t="shared" si="52"/>
        <v>0</v>
      </c>
      <c r="Q425" s="185">
        <v>3.7499999999999999E-2</v>
      </c>
      <c r="R425" s="185">
        <f t="shared" si="53"/>
        <v>0.1875</v>
      </c>
      <c r="S425" s="185">
        <v>0</v>
      </c>
      <c r="T425" s="186">
        <f t="shared" si="54"/>
        <v>0</v>
      </c>
      <c r="AR425" s="131" t="s">
        <v>148</v>
      </c>
      <c r="AT425" s="131" t="s">
        <v>241</v>
      </c>
      <c r="AU425" s="131" t="s">
        <v>82</v>
      </c>
      <c r="AY425" s="90" t="s">
        <v>127</v>
      </c>
      <c r="BE425" s="187">
        <f t="shared" si="55"/>
        <v>0</v>
      </c>
      <c r="BF425" s="187">
        <f t="shared" si="56"/>
        <v>0</v>
      </c>
      <c r="BG425" s="187">
        <f t="shared" si="57"/>
        <v>0</v>
      </c>
      <c r="BH425" s="187">
        <f t="shared" si="58"/>
        <v>0</v>
      </c>
      <c r="BI425" s="187">
        <f t="shared" si="59"/>
        <v>0</v>
      </c>
      <c r="BJ425" s="90" t="s">
        <v>80</v>
      </c>
      <c r="BK425" s="187">
        <f t="shared" si="60"/>
        <v>0</v>
      </c>
      <c r="BL425" s="90" t="s">
        <v>131</v>
      </c>
      <c r="BM425" s="131" t="s">
        <v>519</v>
      </c>
    </row>
    <row r="426" spans="2:65" s="99" customFormat="1" ht="30" customHeight="1" x14ac:dyDescent="0.2">
      <c r="B426" s="98"/>
      <c r="C426" s="214">
        <v>127</v>
      </c>
      <c r="D426" s="214" t="s">
        <v>241</v>
      </c>
      <c r="E426" s="215" t="s">
        <v>520</v>
      </c>
      <c r="F426" s="247" t="s">
        <v>869</v>
      </c>
      <c r="G426" s="217" t="s">
        <v>196</v>
      </c>
      <c r="H426" s="218">
        <v>3</v>
      </c>
      <c r="I426" s="85"/>
      <c r="J426" s="219">
        <f t="shared" si="51"/>
        <v>0</v>
      </c>
      <c r="K426" s="220"/>
      <c r="L426" s="246"/>
      <c r="M426" s="221" t="s">
        <v>1</v>
      </c>
      <c r="N426" s="222" t="s">
        <v>38</v>
      </c>
      <c r="P426" s="185">
        <f t="shared" si="52"/>
        <v>0</v>
      </c>
      <c r="Q426" s="185">
        <v>4.2500000000000003E-2</v>
      </c>
      <c r="R426" s="185">
        <f t="shared" si="53"/>
        <v>0.1275</v>
      </c>
      <c r="S426" s="185">
        <v>0</v>
      </c>
      <c r="T426" s="186">
        <f t="shared" si="54"/>
        <v>0</v>
      </c>
      <c r="AR426" s="131" t="s">
        <v>148</v>
      </c>
      <c r="AT426" s="131" t="s">
        <v>241</v>
      </c>
      <c r="AU426" s="131" t="s">
        <v>82</v>
      </c>
      <c r="AY426" s="90" t="s">
        <v>127</v>
      </c>
      <c r="BE426" s="187">
        <f t="shared" si="55"/>
        <v>0</v>
      </c>
      <c r="BF426" s="187">
        <f t="shared" si="56"/>
        <v>0</v>
      </c>
      <c r="BG426" s="187">
        <f t="shared" si="57"/>
        <v>0</v>
      </c>
      <c r="BH426" s="187">
        <f t="shared" si="58"/>
        <v>0</v>
      </c>
      <c r="BI426" s="187">
        <f t="shared" si="59"/>
        <v>0</v>
      </c>
      <c r="BJ426" s="90" t="s">
        <v>80</v>
      </c>
      <c r="BK426" s="187">
        <f t="shared" si="60"/>
        <v>0</v>
      </c>
      <c r="BL426" s="90" t="s">
        <v>131</v>
      </c>
      <c r="BM426" s="131" t="s">
        <v>521</v>
      </c>
    </row>
    <row r="427" spans="2:65" s="99" customFormat="1" ht="21.75" customHeight="1" x14ac:dyDescent="0.2">
      <c r="B427" s="98"/>
      <c r="C427" s="176">
        <v>128</v>
      </c>
      <c r="D427" s="176" t="s">
        <v>129</v>
      </c>
      <c r="E427" s="177" t="s">
        <v>522</v>
      </c>
      <c r="F427" s="178" t="s">
        <v>523</v>
      </c>
      <c r="G427" s="179" t="s">
        <v>196</v>
      </c>
      <c r="H427" s="180">
        <v>18</v>
      </c>
      <c r="I427" s="80"/>
      <c r="J427" s="181">
        <f t="shared" si="51"/>
        <v>0</v>
      </c>
      <c r="K427" s="182"/>
      <c r="L427" s="196"/>
      <c r="M427" s="183" t="s">
        <v>1</v>
      </c>
      <c r="N427" s="184" t="s">
        <v>38</v>
      </c>
      <c r="P427" s="185">
        <f t="shared" si="52"/>
        <v>0</v>
      </c>
      <c r="Q427" s="185">
        <v>1.65E-3</v>
      </c>
      <c r="R427" s="185">
        <f t="shared" si="53"/>
        <v>2.9700000000000001E-2</v>
      </c>
      <c r="S427" s="185">
        <v>0</v>
      </c>
      <c r="T427" s="186">
        <f t="shared" si="54"/>
        <v>0</v>
      </c>
      <c r="AR427" s="131" t="s">
        <v>131</v>
      </c>
      <c r="AT427" s="131" t="s">
        <v>129</v>
      </c>
      <c r="AU427" s="131" t="s">
        <v>82</v>
      </c>
      <c r="AY427" s="90" t="s">
        <v>127</v>
      </c>
      <c r="BE427" s="187">
        <f t="shared" si="55"/>
        <v>0</v>
      </c>
      <c r="BF427" s="187">
        <f t="shared" si="56"/>
        <v>0</v>
      </c>
      <c r="BG427" s="187">
        <f t="shared" si="57"/>
        <v>0</v>
      </c>
      <c r="BH427" s="187">
        <f t="shared" si="58"/>
        <v>0</v>
      </c>
      <c r="BI427" s="187">
        <f t="shared" si="59"/>
        <v>0</v>
      </c>
      <c r="BJ427" s="90" t="s">
        <v>80</v>
      </c>
      <c r="BK427" s="187">
        <f t="shared" si="60"/>
        <v>0</v>
      </c>
      <c r="BL427" s="90" t="s">
        <v>131</v>
      </c>
      <c r="BM427" s="131" t="s">
        <v>524</v>
      </c>
    </row>
    <row r="428" spans="2:65" s="189" customFormat="1" x14ac:dyDescent="0.2">
      <c r="B428" s="188"/>
      <c r="D428" s="190" t="s">
        <v>132</v>
      </c>
      <c r="E428" s="191" t="s">
        <v>1</v>
      </c>
      <c r="F428" s="192" t="s">
        <v>525</v>
      </c>
      <c r="H428" s="193">
        <v>18</v>
      </c>
      <c r="I428" s="82"/>
      <c r="L428" s="158"/>
      <c r="M428" s="194"/>
      <c r="T428" s="195"/>
      <c r="AT428" s="191" t="s">
        <v>132</v>
      </c>
      <c r="AU428" s="191" t="s">
        <v>82</v>
      </c>
      <c r="AV428" s="189" t="s">
        <v>82</v>
      </c>
      <c r="AW428" s="189" t="s">
        <v>30</v>
      </c>
      <c r="AX428" s="189" t="s">
        <v>72</v>
      </c>
      <c r="AY428" s="191" t="s">
        <v>127</v>
      </c>
    </row>
    <row r="429" spans="2:65" s="198" customFormat="1" x14ac:dyDescent="0.2">
      <c r="B429" s="197"/>
      <c r="D429" s="190" t="s">
        <v>132</v>
      </c>
      <c r="E429" s="199" t="s">
        <v>1</v>
      </c>
      <c r="F429" s="200" t="s">
        <v>133</v>
      </c>
      <c r="H429" s="201">
        <v>18</v>
      </c>
      <c r="I429" s="83"/>
      <c r="L429" s="202"/>
      <c r="M429" s="203"/>
      <c r="T429" s="204"/>
      <c r="AT429" s="199" t="s">
        <v>132</v>
      </c>
      <c r="AU429" s="199" t="s">
        <v>82</v>
      </c>
      <c r="AV429" s="198" t="s">
        <v>131</v>
      </c>
      <c r="AW429" s="198" t="s">
        <v>30</v>
      </c>
      <c r="AX429" s="198" t="s">
        <v>80</v>
      </c>
      <c r="AY429" s="199" t="s">
        <v>127</v>
      </c>
    </row>
    <row r="430" spans="2:65" s="99" customFormat="1" ht="32.25" customHeight="1" x14ac:dyDescent="0.2">
      <c r="B430" s="98"/>
      <c r="C430" s="214">
        <v>129</v>
      </c>
      <c r="D430" s="214" t="s">
        <v>241</v>
      </c>
      <c r="E430" s="215" t="s">
        <v>527</v>
      </c>
      <c r="F430" s="247" t="s">
        <v>870</v>
      </c>
      <c r="G430" s="217" t="s">
        <v>196</v>
      </c>
      <c r="H430" s="218">
        <v>18</v>
      </c>
      <c r="I430" s="85"/>
      <c r="J430" s="219">
        <f>ROUND(I430*H430,2)</f>
        <v>0</v>
      </c>
      <c r="K430" s="220"/>
      <c r="L430" s="246"/>
      <c r="M430" s="221" t="s">
        <v>1</v>
      </c>
      <c r="N430" s="222" t="s">
        <v>38</v>
      </c>
      <c r="P430" s="185">
        <f>O430*H430</f>
        <v>0</v>
      </c>
      <c r="Q430" s="185">
        <v>2.4500000000000001E-2</v>
      </c>
      <c r="R430" s="185">
        <f>Q430*H430</f>
        <v>0.441</v>
      </c>
      <c r="S430" s="185">
        <v>0</v>
      </c>
      <c r="T430" s="186">
        <f>S430*H430</f>
        <v>0</v>
      </c>
      <c r="AR430" s="131" t="s">
        <v>148</v>
      </c>
      <c r="AT430" s="131" t="s">
        <v>241</v>
      </c>
      <c r="AU430" s="131" t="s">
        <v>82</v>
      </c>
      <c r="AY430" s="90" t="s">
        <v>127</v>
      </c>
      <c r="BE430" s="187">
        <f>IF(N430="základní",J430,0)</f>
        <v>0</v>
      </c>
      <c r="BF430" s="187">
        <f>IF(N430="snížená",J430,0)</f>
        <v>0</v>
      </c>
      <c r="BG430" s="187">
        <f>IF(N430="zákl. přenesená",J430,0)</f>
        <v>0</v>
      </c>
      <c r="BH430" s="187">
        <f>IF(N430="sníž. přenesená",J430,0)</f>
        <v>0</v>
      </c>
      <c r="BI430" s="187">
        <f>IF(N430="nulová",J430,0)</f>
        <v>0</v>
      </c>
      <c r="BJ430" s="90" t="s">
        <v>80</v>
      </c>
      <c r="BK430" s="187">
        <f>ROUND(I430*H430,2)</f>
        <v>0</v>
      </c>
      <c r="BL430" s="90" t="s">
        <v>131</v>
      </c>
      <c r="BM430" s="131" t="s">
        <v>528</v>
      </c>
    </row>
    <row r="431" spans="2:65" s="99" customFormat="1" ht="32.25" customHeight="1" x14ac:dyDescent="0.2">
      <c r="B431" s="98"/>
      <c r="C431" s="214">
        <v>130</v>
      </c>
      <c r="D431" s="214" t="s">
        <v>241</v>
      </c>
      <c r="E431" s="215" t="s">
        <v>529</v>
      </c>
      <c r="F431" s="247" t="s">
        <v>871</v>
      </c>
      <c r="G431" s="217" t="s">
        <v>196</v>
      </c>
      <c r="H431" s="218">
        <v>18</v>
      </c>
      <c r="I431" s="85"/>
      <c r="J431" s="219">
        <f>ROUND(I431*H431,2)</f>
        <v>0</v>
      </c>
      <c r="K431" s="220"/>
      <c r="L431" s="246"/>
      <c r="M431" s="221" t="s">
        <v>1</v>
      </c>
      <c r="N431" s="222" t="s">
        <v>38</v>
      </c>
      <c r="P431" s="185">
        <f>O431*H431</f>
        <v>0</v>
      </c>
      <c r="Q431" s="185">
        <v>4.0000000000000001E-3</v>
      </c>
      <c r="R431" s="185">
        <f>Q431*H431</f>
        <v>7.2000000000000008E-2</v>
      </c>
      <c r="S431" s="185">
        <v>0</v>
      </c>
      <c r="T431" s="186">
        <f>S431*H431</f>
        <v>0</v>
      </c>
      <c r="AR431" s="131" t="s">
        <v>148</v>
      </c>
      <c r="AT431" s="131" t="s">
        <v>241</v>
      </c>
      <c r="AU431" s="131" t="s">
        <v>82</v>
      </c>
      <c r="AY431" s="90" t="s">
        <v>127</v>
      </c>
      <c r="BE431" s="187">
        <f>IF(N431="základní",J431,0)</f>
        <v>0</v>
      </c>
      <c r="BF431" s="187">
        <f>IF(N431="snížená",J431,0)</f>
        <v>0</v>
      </c>
      <c r="BG431" s="187">
        <f>IF(N431="zákl. přenesená",J431,0)</f>
        <v>0</v>
      </c>
      <c r="BH431" s="187">
        <f>IF(N431="sníž. přenesená",J431,0)</f>
        <v>0</v>
      </c>
      <c r="BI431" s="187">
        <f>IF(N431="nulová",J431,0)</f>
        <v>0</v>
      </c>
      <c r="BJ431" s="90" t="s">
        <v>80</v>
      </c>
      <c r="BK431" s="187">
        <f>ROUND(I431*H431,2)</f>
        <v>0</v>
      </c>
      <c r="BL431" s="90" t="s">
        <v>131</v>
      </c>
      <c r="BM431" s="131" t="s">
        <v>530</v>
      </c>
    </row>
    <row r="432" spans="2:65" s="99" customFormat="1" ht="24.2" customHeight="1" x14ac:dyDescent="0.2">
      <c r="B432" s="98"/>
      <c r="C432" s="176">
        <v>131</v>
      </c>
      <c r="D432" s="176" t="s">
        <v>129</v>
      </c>
      <c r="E432" s="177" t="s">
        <v>531</v>
      </c>
      <c r="F432" s="178" t="s">
        <v>532</v>
      </c>
      <c r="G432" s="179" t="s">
        <v>196</v>
      </c>
      <c r="H432" s="180">
        <v>1</v>
      </c>
      <c r="I432" s="80"/>
      <c r="J432" s="181">
        <f>ROUND(I432*H432,2)</f>
        <v>0</v>
      </c>
      <c r="K432" s="182"/>
      <c r="L432" s="196"/>
      <c r="M432" s="183" t="s">
        <v>1</v>
      </c>
      <c r="N432" s="184" t="s">
        <v>38</v>
      </c>
      <c r="P432" s="185">
        <f>O432*H432</f>
        <v>0</v>
      </c>
      <c r="Q432" s="185">
        <v>1.65E-3</v>
      </c>
      <c r="R432" s="185">
        <f>Q432*H432</f>
        <v>1.65E-3</v>
      </c>
      <c r="S432" s="185">
        <v>0</v>
      </c>
      <c r="T432" s="186">
        <f>S432*H432</f>
        <v>0</v>
      </c>
      <c r="AR432" s="131" t="s">
        <v>131</v>
      </c>
      <c r="AT432" s="131" t="s">
        <v>129</v>
      </c>
      <c r="AU432" s="131" t="s">
        <v>82</v>
      </c>
      <c r="AY432" s="90" t="s">
        <v>127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90" t="s">
        <v>80</v>
      </c>
      <c r="BK432" s="187">
        <f>ROUND(I432*H432,2)</f>
        <v>0</v>
      </c>
      <c r="BL432" s="90" t="s">
        <v>131</v>
      </c>
      <c r="BM432" s="131" t="s">
        <v>533</v>
      </c>
    </row>
    <row r="433" spans="2:65" s="189" customFormat="1" x14ac:dyDescent="0.2">
      <c r="B433" s="188"/>
      <c r="D433" s="190" t="s">
        <v>132</v>
      </c>
      <c r="E433" s="191" t="s">
        <v>1</v>
      </c>
      <c r="F433" s="192" t="s">
        <v>312</v>
      </c>
      <c r="H433" s="193">
        <v>1</v>
      </c>
      <c r="I433" s="82"/>
      <c r="L433" s="158"/>
      <c r="M433" s="194"/>
      <c r="T433" s="195"/>
      <c r="AT433" s="191" t="s">
        <v>132</v>
      </c>
      <c r="AU433" s="191" t="s">
        <v>82</v>
      </c>
      <c r="AV433" s="189" t="s">
        <v>82</v>
      </c>
      <c r="AW433" s="189" t="s">
        <v>30</v>
      </c>
      <c r="AX433" s="189" t="s">
        <v>72</v>
      </c>
      <c r="AY433" s="191" t="s">
        <v>127</v>
      </c>
    </row>
    <row r="434" spans="2:65" s="198" customFormat="1" x14ac:dyDescent="0.2">
      <c r="B434" s="197"/>
      <c r="D434" s="190" t="s">
        <v>132</v>
      </c>
      <c r="E434" s="199" t="s">
        <v>1</v>
      </c>
      <c r="F434" s="200" t="s">
        <v>133</v>
      </c>
      <c r="H434" s="201">
        <v>1</v>
      </c>
      <c r="I434" s="83"/>
      <c r="L434" s="202"/>
      <c r="M434" s="203"/>
      <c r="T434" s="204"/>
      <c r="AT434" s="199" t="s">
        <v>132</v>
      </c>
      <c r="AU434" s="199" t="s">
        <v>82</v>
      </c>
      <c r="AV434" s="198" t="s">
        <v>131</v>
      </c>
      <c r="AW434" s="198" t="s">
        <v>30</v>
      </c>
      <c r="AX434" s="198" t="s">
        <v>80</v>
      </c>
      <c r="AY434" s="199" t="s">
        <v>127</v>
      </c>
    </row>
    <row r="435" spans="2:65" s="99" customFormat="1" ht="37.5" customHeight="1" x14ac:dyDescent="0.2">
      <c r="B435" s="98"/>
      <c r="C435" s="214">
        <v>132</v>
      </c>
      <c r="D435" s="214" t="s">
        <v>241</v>
      </c>
      <c r="E435" s="215" t="s">
        <v>534</v>
      </c>
      <c r="F435" s="247" t="s">
        <v>872</v>
      </c>
      <c r="G435" s="217" t="s">
        <v>196</v>
      </c>
      <c r="H435" s="218">
        <v>1</v>
      </c>
      <c r="I435" s="85"/>
      <c r="J435" s="219">
        <f>ROUND(I435*H435,2)</f>
        <v>0</v>
      </c>
      <c r="K435" s="220"/>
      <c r="L435" s="246"/>
      <c r="M435" s="221" t="s">
        <v>1</v>
      </c>
      <c r="N435" s="222" t="s">
        <v>38</v>
      </c>
      <c r="P435" s="185">
        <f>O435*H435</f>
        <v>0</v>
      </c>
      <c r="Q435" s="185">
        <v>2.3E-2</v>
      </c>
      <c r="R435" s="185">
        <f>Q435*H435</f>
        <v>2.3E-2</v>
      </c>
      <c r="S435" s="185">
        <v>0</v>
      </c>
      <c r="T435" s="186">
        <f>S435*H435</f>
        <v>0</v>
      </c>
      <c r="AR435" s="131" t="s">
        <v>148</v>
      </c>
      <c r="AT435" s="131" t="s">
        <v>241</v>
      </c>
      <c r="AU435" s="131" t="s">
        <v>82</v>
      </c>
      <c r="AY435" s="90" t="s">
        <v>127</v>
      </c>
      <c r="BE435" s="187">
        <f>IF(N435="základní",J435,0)</f>
        <v>0</v>
      </c>
      <c r="BF435" s="187">
        <f>IF(N435="snížená",J435,0)</f>
        <v>0</v>
      </c>
      <c r="BG435" s="187">
        <f>IF(N435="zákl. přenesená",J435,0)</f>
        <v>0</v>
      </c>
      <c r="BH435" s="187">
        <f>IF(N435="sníž. přenesená",J435,0)</f>
        <v>0</v>
      </c>
      <c r="BI435" s="187">
        <f>IF(N435="nulová",J435,0)</f>
        <v>0</v>
      </c>
      <c r="BJ435" s="90" t="s">
        <v>80</v>
      </c>
      <c r="BK435" s="187">
        <f>ROUND(I435*H435,2)</f>
        <v>0</v>
      </c>
      <c r="BL435" s="90" t="s">
        <v>131</v>
      </c>
      <c r="BM435" s="131" t="s">
        <v>535</v>
      </c>
    </row>
    <row r="436" spans="2:65" s="99" customFormat="1" ht="37.5" customHeight="1" x14ac:dyDescent="0.2">
      <c r="B436" s="98"/>
      <c r="C436" s="214">
        <v>133</v>
      </c>
      <c r="D436" s="214" t="s">
        <v>241</v>
      </c>
      <c r="E436" s="215" t="s">
        <v>536</v>
      </c>
      <c r="F436" s="247" t="s">
        <v>873</v>
      </c>
      <c r="G436" s="217" t="s">
        <v>196</v>
      </c>
      <c r="H436" s="218">
        <v>1</v>
      </c>
      <c r="I436" s="85"/>
      <c r="J436" s="219">
        <f>ROUND(I436*H436,2)</f>
        <v>0</v>
      </c>
      <c r="K436" s="220"/>
      <c r="L436" s="246"/>
      <c r="M436" s="221" t="s">
        <v>1</v>
      </c>
      <c r="N436" s="222" t="s">
        <v>38</v>
      </c>
      <c r="P436" s="185">
        <f>O436*H436</f>
        <v>0</v>
      </c>
      <c r="Q436" s="185">
        <v>2.8E-3</v>
      </c>
      <c r="R436" s="185">
        <f>Q436*H436</f>
        <v>2.8E-3</v>
      </c>
      <c r="S436" s="185">
        <v>0</v>
      </c>
      <c r="T436" s="186">
        <f>S436*H436</f>
        <v>0</v>
      </c>
      <c r="AR436" s="131" t="s">
        <v>148</v>
      </c>
      <c r="AT436" s="131" t="s">
        <v>241</v>
      </c>
      <c r="AU436" s="131" t="s">
        <v>82</v>
      </c>
      <c r="AY436" s="90" t="s">
        <v>127</v>
      </c>
      <c r="BE436" s="187">
        <f>IF(N436="základní",J436,0)</f>
        <v>0</v>
      </c>
      <c r="BF436" s="187">
        <f>IF(N436="snížená",J436,0)</f>
        <v>0</v>
      </c>
      <c r="BG436" s="187">
        <f>IF(N436="zákl. přenesená",J436,0)</f>
        <v>0</v>
      </c>
      <c r="BH436" s="187">
        <f>IF(N436="sníž. přenesená",J436,0)</f>
        <v>0</v>
      </c>
      <c r="BI436" s="187">
        <f>IF(N436="nulová",J436,0)</f>
        <v>0</v>
      </c>
      <c r="BJ436" s="90" t="s">
        <v>80</v>
      </c>
      <c r="BK436" s="187">
        <f>ROUND(I436*H436,2)</f>
        <v>0</v>
      </c>
      <c r="BL436" s="90" t="s">
        <v>131</v>
      </c>
      <c r="BM436" s="131" t="s">
        <v>537</v>
      </c>
    </row>
    <row r="437" spans="2:65" s="99" customFormat="1" ht="24.2" customHeight="1" x14ac:dyDescent="0.2">
      <c r="B437" s="98"/>
      <c r="C437" s="176">
        <v>134</v>
      </c>
      <c r="D437" s="176" t="s">
        <v>129</v>
      </c>
      <c r="E437" s="177" t="s">
        <v>538</v>
      </c>
      <c r="F437" s="178" t="s">
        <v>539</v>
      </c>
      <c r="G437" s="179" t="s">
        <v>196</v>
      </c>
      <c r="H437" s="180">
        <v>10</v>
      </c>
      <c r="I437" s="80"/>
      <c r="J437" s="181">
        <f>ROUND(I437*H437,2)</f>
        <v>0</v>
      </c>
      <c r="K437" s="182"/>
      <c r="L437" s="196"/>
      <c r="M437" s="183" t="s">
        <v>1</v>
      </c>
      <c r="N437" s="184" t="s">
        <v>38</v>
      </c>
      <c r="P437" s="185">
        <f>O437*H437</f>
        <v>0</v>
      </c>
      <c r="Q437" s="185">
        <v>0</v>
      </c>
      <c r="R437" s="185">
        <f>Q437*H437</f>
        <v>0</v>
      </c>
      <c r="S437" s="185">
        <v>0.02</v>
      </c>
      <c r="T437" s="186">
        <f>S437*H437</f>
        <v>0.2</v>
      </c>
      <c r="AR437" s="131" t="s">
        <v>131</v>
      </c>
      <c r="AT437" s="131" t="s">
        <v>129</v>
      </c>
      <c r="AU437" s="131" t="s">
        <v>82</v>
      </c>
      <c r="AY437" s="90" t="s">
        <v>127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90" t="s">
        <v>80</v>
      </c>
      <c r="BK437" s="187">
        <f>ROUND(I437*H437,2)</f>
        <v>0</v>
      </c>
      <c r="BL437" s="90" t="s">
        <v>131</v>
      </c>
      <c r="BM437" s="131" t="s">
        <v>540</v>
      </c>
    </row>
    <row r="438" spans="2:65" s="99" customFormat="1" ht="33.75" customHeight="1" x14ac:dyDescent="0.2">
      <c r="B438" s="98"/>
      <c r="C438" s="176">
        <v>135</v>
      </c>
      <c r="D438" s="176" t="s">
        <v>129</v>
      </c>
      <c r="E438" s="177" t="s">
        <v>541</v>
      </c>
      <c r="F438" s="178" t="s">
        <v>874</v>
      </c>
      <c r="G438" s="179" t="s">
        <v>160</v>
      </c>
      <c r="H438" s="180">
        <f>H441</f>
        <v>1961.2900000000002</v>
      </c>
      <c r="I438" s="80"/>
      <c r="J438" s="181">
        <f>ROUND(I438*H438,2)</f>
        <v>0</v>
      </c>
      <c r="K438" s="182"/>
      <c r="L438" s="196"/>
      <c r="M438" s="183" t="s">
        <v>1</v>
      </c>
      <c r="N438" s="184" t="s">
        <v>38</v>
      </c>
      <c r="P438" s="185">
        <f>O438*H438</f>
        <v>0</v>
      </c>
      <c r="Q438" s="185">
        <v>0</v>
      </c>
      <c r="R438" s="185">
        <f>Q438*H438</f>
        <v>0</v>
      </c>
      <c r="S438" s="185">
        <v>0</v>
      </c>
      <c r="T438" s="186">
        <f>S438*H438</f>
        <v>0</v>
      </c>
      <c r="AR438" s="131" t="s">
        <v>131</v>
      </c>
      <c r="AT438" s="131" t="s">
        <v>129</v>
      </c>
      <c r="AU438" s="131" t="s">
        <v>82</v>
      </c>
      <c r="AY438" s="90" t="s">
        <v>127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90" t="s">
        <v>80</v>
      </c>
      <c r="BK438" s="187">
        <f>ROUND(I438*H438,2)</f>
        <v>0</v>
      </c>
      <c r="BL438" s="90" t="s">
        <v>131</v>
      </c>
      <c r="BM438" s="131" t="s">
        <v>542</v>
      </c>
    </row>
    <row r="439" spans="2:65" s="189" customFormat="1" x14ac:dyDescent="0.2">
      <c r="B439" s="188"/>
      <c r="D439" s="190" t="s">
        <v>132</v>
      </c>
      <c r="E439" s="191" t="s">
        <v>1</v>
      </c>
      <c r="F439" s="192" t="s">
        <v>876</v>
      </c>
      <c r="H439" s="193">
        <f>H443</f>
        <v>923.1400000000001</v>
      </c>
      <c r="I439" s="82"/>
      <c r="L439" s="158"/>
      <c r="M439" s="194"/>
      <c r="T439" s="195"/>
      <c r="AT439" s="191" t="s">
        <v>132</v>
      </c>
      <c r="AU439" s="191" t="s">
        <v>82</v>
      </c>
      <c r="AV439" s="189" t="s">
        <v>82</v>
      </c>
      <c r="AW439" s="189" t="s">
        <v>30</v>
      </c>
      <c r="AX439" s="189" t="s">
        <v>72</v>
      </c>
      <c r="AY439" s="191" t="s">
        <v>127</v>
      </c>
    </row>
    <row r="440" spans="2:65" s="189" customFormat="1" x14ac:dyDescent="0.2">
      <c r="B440" s="188"/>
      <c r="D440" s="190" t="s">
        <v>132</v>
      </c>
      <c r="E440" s="191" t="s">
        <v>1</v>
      </c>
      <c r="F440" s="192" t="s">
        <v>878</v>
      </c>
      <c r="H440" s="193">
        <f>H446</f>
        <v>1038.1500000000001</v>
      </c>
      <c r="I440" s="82"/>
      <c r="L440" s="158"/>
      <c r="M440" s="194"/>
      <c r="T440" s="195"/>
      <c r="AT440" s="191" t="s">
        <v>132</v>
      </c>
      <c r="AU440" s="191" t="s">
        <v>82</v>
      </c>
      <c r="AV440" s="189" t="s">
        <v>82</v>
      </c>
      <c r="AW440" s="189" t="s">
        <v>30</v>
      </c>
      <c r="AX440" s="189" t="s">
        <v>72</v>
      </c>
      <c r="AY440" s="191" t="s">
        <v>127</v>
      </c>
    </row>
    <row r="441" spans="2:65" s="198" customFormat="1" x14ac:dyDescent="0.2">
      <c r="B441" s="197"/>
      <c r="D441" s="190" t="s">
        <v>132</v>
      </c>
      <c r="E441" s="199" t="s">
        <v>1</v>
      </c>
      <c r="F441" s="200" t="s">
        <v>133</v>
      </c>
      <c r="H441" s="201">
        <f>SUM(H439:H440)</f>
        <v>1961.2900000000002</v>
      </c>
      <c r="I441" s="83"/>
      <c r="L441" s="202"/>
      <c r="M441" s="203"/>
      <c r="T441" s="204"/>
      <c r="AT441" s="199" t="s">
        <v>132</v>
      </c>
      <c r="AU441" s="199" t="s">
        <v>82</v>
      </c>
      <c r="AV441" s="198" t="s">
        <v>131</v>
      </c>
      <c r="AW441" s="198" t="s">
        <v>30</v>
      </c>
      <c r="AX441" s="198" t="s">
        <v>80</v>
      </c>
      <c r="AY441" s="199" t="s">
        <v>127</v>
      </c>
    </row>
    <row r="442" spans="2:65" s="99" customFormat="1" ht="16.5" customHeight="1" x14ac:dyDescent="0.2">
      <c r="B442" s="98"/>
      <c r="C442" s="176">
        <v>136</v>
      </c>
      <c r="D442" s="176" t="s">
        <v>129</v>
      </c>
      <c r="E442" s="177" t="s">
        <v>543</v>
      </c>
      <c r="F442" s="178" t="s">
        <v>544</v>
      </c>
      <c r="G442" s="179" t="s">
        <v>160</v>
      </c>
      <c r="H442" s="180">
        <v>966.98</v>
      </c>
      <c r="I442" s="80"/>
      <c r="J442" s="181">
        <f>ROUND(I442*H442,2)</f>
        <v>0</v>
      </c>
      <c r="K442" s="182"/>
      <c r="L442" s="196"/>
      <c r="M442" s="183" t="s">
        <v>1</v>
      </c>
      <c r="N442" s="184" t="s">
        <v>38</v>
      </c>
      <c r="P442" s="185">
        <f>O442*H442</f>
        <v>0</v>
      </c>
      <c r="Q442" s="185">
        <v>0</v>
      </c>
      <c r="R442" s="185">
        <f>Q442*H442</f>
        <v>0</v>
      </c>
      <c r="S442" s="185">
        <v>0</v>
      </c>
      <c r="T442" s="186">
        <f>S442*H442</f>
        <v>0</v>
      </c>
      <c r="AR442" s="131" t="s">
        <v>131</v>
      </c>
      <c r="AT442" s="131" t="s">
        <v>129</v>
      </c>
      <c r="AU442" s="131" t="s">
        <v>82</v>
      </c>
      <c r="AY442" s="90" t="s">
        <v>127</v>
      </c>
      <c r="BE442" s="187">
        <f>IF(N442="základní",J442,0)</f>
        <v>0</v>
      </c>
      <c r="BF442" s="187">
        <f>IF(N442="snížená",J442,0)</f>
        <v>0</v>
      </c>
      <c r="BG442" s="187">
        <f>IF(N442="zákl. přenesená",J442,0)</f>
        <v>0</v>
      </c>
      <c r="BH442" s="187">
        <f>IF(N442="sníž. přenesená",J442,0)</f>
        <v>0</v>
      </c>
      <c r="BI442" s="187">
        <f>IF(N442="nulová",J442,0)</f>
        <v>0</v>
      </c>
      <c r="BJ442" s="90" t="s">
        <v>80</v>
      </c>
      <c r="BK442" s="187">
        <f>ROUND(I442*H442,2)</f>
        <v>0</v>
      </c>
      <c r="BL442" s="90" t="s">
        <v>131</v>
      </c>
      <c r="BM442" s="131" t="s">
        <v>545</v>
      </c>
    </row>
    <row r="443" spans="2:65" s="189" customFormat="1" x14ac:dyDescent="0.2">
      <c r="B443" s="188"/>
      <c r="D443" s="190" t="s">
        <v>132</v>
      </c>
      <c r="E443" s="191" t="s">
        <v>1</v>
      </c>
      <c r="F443" s="192" t="s">
        <v>876</v>
      </c>
      <c r="H443" s="193">
        <f>H314+H328</f>
        <v>923.1400000000001</v>
      </c>
      <c r="I443" s="82"/>
      <c r="L443" s="158"/>
      <c r="M443" s="194"/>
      <c r="T443" s="195"/>
      <c r="AT443" s="191" t="s">
        <v>132</v>
      </c>
      <c r="AU443" s="191" t="s">
        <v>82</v>
      </c>
      <c r="AV443" s="189" t="s">
        <v>82</v>
      </c>
      <c r="AW443" s="189" t="s">
        <v>30</v>
      </c>
      <c r="AX443" s="189" t="s">
        <v>72</v>
      </c>
      <c r="AY443" s="191" t="s">
        <v>127</v>
      </c>
    </row>
    <row r="444" spans="2:65" s="99" customFormat="1" ht="21.75" customHeight="1" x14ac:dyDescent="0.2">
      <c r="B444" s="98"/>
      <c r="C444" s="176">
        <v>137</v>
      </c>
      <c r="D444" s="176" t="s">
        <v>129</v>
      </c>
      <c r="E444" s="177" t="s">
        <v>546</v>
      </c>
      <c r="F444" s="178" t="s">
        <v>547</v>
      </c>
      <c r="G444" s="179" t="s">
        <v>160</v>
      </c>
      <c r="H444" s="180">
        <v>1038.1500000000001</v>
      </c>
      <c r="I444" s="80"/>
      <c r="J444" s="181">
        <f>ROUND(I444*H444,2)</f>
        <v>0</v>
      </c>
      <c r="K444" s="182"/>
      <c r="L444" s="196"/>
      <c r="M444" s="183" t="s">
        <v>1</v>
      </c>
      <c r="N444" s="184" t="s">
        <v>38</v>
      </c>
      <c r="P444" s="185">
        <f>O444*H444</f>
        <v>0</v>
      </c>
      <c r="Q444" s="185">
        <v>0</v>
      </c>
      <c r="R444" s="185">
        <f>Q444*H444</f>
        <v>0</v>
      </c>
      <c r="S444" s="185">
        <v>0</v>
      </c>
      <c r="T444" s="186">
        <f>S444*H444</f>
        <v>0</v>
      </c>
      <c r="AR444" s="131" t="s">
        <v>131</v>
      </c>
      <c r="AT444" s="131" t="s">
        <v>129</v>
      </c>
      <c r="AU444" s="131" t="s">
        <v>82</v>
      </c>
      <c r="AY444" s="90" t="s">
        <v>127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90" t="s">
        <v>80</v>
      </c>
      <c r="BK444" s="187">
        <f>ROUND(I444*H444,2)</f>
        <v>0</v>
      </c>
      <c r="BL444" s="90" t="s">
        <v>131</v>
      </c>
      <c r="BM444" s="131" t="s">
        <v>548</v>
      </c>
    </row>
    <row r="445" spans="2:65" s="207" customFormat="1" x14ac:dyDescent="0.2">
      <c r="B445" s="206"/>
      <c r="D445" s="190" t="s">
        <v>132</v>
      </c>
      <c r="E445" s="208" t="s">
        <v>1</v>
      </c>
      <c r="F445" s="209" t="s">
        <v>549</v>
      </c>
      <c r="H445" s="208" t="s">
        <v>1</v>
      </c>
      <c r="I445" s="84"/>
      <c r="L445" s="210"/>
      <c r="M445" s="211"/>
      <c r="T445" s="212"/>
      <c r="AT445" s="208" t="s">
        <v>132</v>
      </c>
      <c r="AU445" s="208" t="s">
        <v>82</v>
      </c>
      <c r="AV445" s="207" t="s">
        <v>80</v>
      </c>
      <c r="AW445" s="207" t="s">
        <v>30</v>
      </c>
      <c r="AX445" s="207" t="s">
        <v>72</v>
      </c>
      <c r="AY445" s="208" t="s">
        <v>127</v>
      </c>
    </row>
    <row r="446" spans="2:65" s="189" customFormat="1" x14ac:dyDescent="0.2">
      <c r="B446" s="188"/>
      <c r="D446" s="190" t="s">
        <v>132</v>
      </c>
      <c r="E446" s="191" t="s">
        <v>1</v>
      </c>
      <c r="F446" s="192" t="s">
        <v>877</v>
      </c>
      <c r="H446" s="193">
        <f>H331</f>
        <v>1038.1500000000001</v>
      </c>
      <c r="I446" s="82"/>
      <c r="L446" s="158"/>
      <c r="M446" s="194"/>
      <c r="T446" s="195"/>
      <c r="AT446" s="191" t="s">
        <v>132</v>
      </c>
      <c r="AU446" s="191" t="s">
        <v>82</v>
      </c>
      <c r="AV446" s="189" t="s">
        <v>82</v>
      </c>
      <c r="AW446" s="189" t="s">
        <v>30</v>
      </c>
      <c r="AX446" s="189" t="s">
        <v>72</v>
      </c>
      <c r="AY446" s="191" t="s">
        <v>127</v>
      </c>
    </row>
    <row r="447" spans="2:65" s="99" customFormat="1" ht="24.2" customHeight="1" x14ac:dyDescent="0.2">
      <c r="B447" s="98"/>
      <c r="C447" s="176">
        <v>138</v>
      </c>
      <c r="D447" s="176" t="s">
        <v>129</v>
      </c>
      <c r="E447" s="177" t="s">
        <v>550</v>
      </c>
      <c r="F447" s="178" t="s">
        <v>551</v>
      </c>
      <c r="G447" s="179" t="s">
        <v>160</v>
      </c>
      <c r="H447" s="180">
        <f>H450</f>
        <v>3416.29</v>
      </c>
      <c r="I447" s="80"/>
      <c r="J447" s="181">
        <f>ROUND(I447*H447,2)</f>
        <v>0</v>
      </c>
      <c r="K447" s="182"/>
      <c r="L447" s="196"/>
      <c r="M447" s="183" t="s">
        <v>1</v>
      </c>
      <c r="N447" s="184" t="s">
        <v>38</v>
      </c>
      <c r="P447" s="185">
        <f>O447*H447</f>
        <v>0</v>
      </c>
      <c r="Q447" s="185">
        <v>0</v>
      </c>
      <c r="R447" s="185">
        <f>Q447*H447</f>
        <v>0</v>
      </c>
      <c r="S447" s="185">
        <v>0</v>
      </c>
      <c r="T447" s="186">
        <f>S447*H447</f>
        <v>0</v>
      </c>
      <c r="AR447" s="131" t="s">
        <v>131</v>
      </c>
      <c r="AT447" s="131" t="s">
        <v>129</v>
      </c>
      <c r="AU447" s="131" t="s">
        <v>82</v>
      </c>
      <c r="AY447" s="90" t="s">
        <v>127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90" t="s">
        <v>80</v>
      </c>
      <c r="BK447" s="187">
        <f>ROUND(I447*H447,2)</f>
        <v>0</v>
      </c>
      <c r="BL447" s="90" t="s">
        <v>131</v>
      </c>
      <c r="BM447" s="131" t="s">
        <v>552</v>
      </c>
    </row>
    <row r="448" spans="2:65" s="99" customFormat="1" ht="12.75" customHeight="1" x14ac:dyDescent="0.2">
      <c r="B448" s="98"/>
      <c r="C448" s="176"/>
      <c r="D448" s="176"/>
      <c r="E448" s="177"/>
      <c r="F448" s="178" t="s">
        <v>1071</v>
      </c>
      <c r="G448" s="179"/>
      <c r="H448" s="180">
        <f>H438</f>
        <v>1961.2900000000002</v>
      </c>
      <c r="I448" s="80"/>
      <c r="J448" s="181"/>
      <c r="K448" s="182"/>
      <c r="L448" s="196"/>
      <c r="M448" s="183"/>
      <c r="N448" s="184"/>
      <c r="P448" s="185"/>
      <c r="Q448" s="185"/>
      <c r="R448" s="185"/>
      <c r="S448" s="185"/>
      <c r="T448" s="186"/>
      <c r="AR448" s="131"/>
      <c r="AT448" s="131"/>
      <c r="AU448" s="131"/>
      <c r="AY448" s="90"/>
      <c r="BE448" s="187"/>
      <c r="BF448" s="187"/>
      <c r="BG448" s="187"/>
      <c r="BH448" s="187"/>
      <c r="BI448" s="187"/>
      <c r="BJ448" s="90"/>
      <c r="BK448" s="187"/>
      <c r="BL448" s="90"/>
      <c r="BM448" s="131"/>
    </row>
    <row r="449" spans="2:65" s="99" customFormat="1" ht="12.75" customHeight="1" x14ac:dyDescent="0.2">
      <c r="B449" s="98"/>
      <c r="C449" s="176"/>
      <c r="D449" s="176"/>
      <c r="E449" s="177"/>
      <c r="F449" s="178" t="s">
        <v>1072</v>
      </c>
      <c r="G449" s="179"/>
      <c r="H449" s="180">
        <f>SUM(H406,H407,H408)</f>
        <v>1455</v>
      </c>
      <c r="I449" s="80"/>
      <c r="J449" s="181"/>
      <c r="K449" s="182"/>
      <c r="L449" s="196"/>
      <c r="M449" s="183"/>
      <c r="N449" s="184"/>
      <c r="P449" s="185"/>
      <c r="Q449" s="185"/>
      <c r="R449" s="185"/>
      <c r="S449" s="185"/>
      <c r="T449" s="186"/>
      <c r="AR449" s="131"/>
      <c r="AT449" s="131"/>
      <c r="AU449" s="131"/>
      <c r="AY449" s="90"/>
      <c r="BE449" s="187"/>
      <c r="BF449" s="187"/>
      <c r="BG449" s="187"/>
      <c r="BH449" s="187"/>
      <c r="BI449" s="187"/>
      <c r="BJ449" s="90"/>
      <c r="BK449" s="187"/>
      <c r="BL449" s="90"/>
      <c r="BM449" s="131"/>
    </row>
    <row r="450" spans="2:65" s="198" customFormat="1" x14ac:dyDescent="0.2">
      <c r="B450" s="197"/>
      <c r="D450" s="190" t="s">
        <v>132</v>
      </c>
      <c r="E450" s="199" t="s">
        <v>1</v>
      </c>
      <c r="F450" s="200" t="s">
        <v>133</v>
      </c>
      <c r="H450" s="201">
        <f>SUM(H448:H449)</f>
        <v>3416.29</v>
      </c>
      <c r="I450" s="83"/>
      <c r="L450" s="202"/>
      <c r="M450" s="203"/>
      <c r="T450" s="204"/>
      <c r="AT450" s="199" t="s">
        <v>132</v>
      </c>
      <c r="AU450" s="199" t="s">
        <v>82</v>
      </c>
      <c r="AV450" s="198" t="s">
        <v>131</v>
      </c>
      <c r="AW450" s="198" t="s">
        <v>30</v>
      </c>
      <c r="AX450" s="198" t="s">
        <v>80</v>
      </c>
      <c r="AY450" s="199" t="s">
        <v>127</v>
      </c>
    </row>
    <row r="451" spans="2:65" s="99" customFormat="1" ht="28.5" customHeight="1" x14ac:dyDescent="0.2">
      <c r="B451" s="98"/>
      <c r="C451" s="176">
        <v>139</v>
      </c>
      <c r="D451" s="176" t="s">
        <v>129</v>
      </c>
      <c r="E451" s="177" t="s">
        <v>553</v>
      </c>
      <c r="F451" s="178" t="s">
        <v>875</v>
      </c>
      <c r="G451" s="179" t="s">
        <v>196</v>
      </c>
      <c r="H451" s="180">
        <v>16</v>
      </c>
      <c r="I451" s="80"/>
      <c r="J451" s="181">
        <f>ROUND(I451*H451,2)</f>
        <v>0</v>
      </c>
      <c r="K451" s="182"/>
      <c r="L451" s="196"/>
      <c r="M451" s="183" t="s">
        <v>1</v>
      </c>
      <c r="N451" s="184" t="s">
        <v>38</v>
      </c>
      <c r="P451" s="185">
        <f>O451*H451</f>
        <v>0</v>
      </c>
      <c r="Q451" s="185">
        <v>0.45937</v>
      </c>
      <c r="R451" s="185">
        <f>Q451*H451</f>
        <v>7.34992</v>
      </c>
      <c r="S451" s="185">
        <v>0</v>
      </c>
      <c r="T451" s="186">
        <f>S451*H451</f>
        <v>0</v>
      </c>
      <c r="AR451" s="131" t="s">
        <v>131</v>
      </c>
      <c r="AT451" s="131" t="s">
        <v>129</v>
      </c>
      <c r="AU451" s="131" t="s">
        <v>82</v>
      </c>
      <c r="AY451" s="90" t="s">
        <v>127</v>
      </c>
      <c r="BE451" s="187">
        <f>IF(N451="základní",J451,0)</f>
        <v>0</v>
      </c>
      <c r="BF451" s="187">
        <f>IF(N451="snížená",J451,0)</f>
        <v>0</v>
      </c>
      <c r="BG451" s="187">
        <f>IF(N451="zákl. přenesená",J451,0)</f>
        <v>0</v>
      </c>
      <c r="BH451" s="187">
        <f>IF(N451="sníž. přenesená",J451,0)</f>
        <v>0</v>
      </c>
      <c r="BI451" s="187">
        <f>IF(N451="nulová",J451,0)</f>
        <v>0</v>
      </c>
      <c r="BJ451" s="90" t="s">
        <v>80</v>
      </c>
      <c r="BK451" s="187">
        <f>ROUND(I451*H451,2)</f>
        <v>0</v>
      </c>
      <c r="BL451" s="90" t="s">
        <v>131</v>
      </c>
      <c r="BM451" s="131" t="s">
        <v>554</v>
      </c>
    </row>
    <row r="452" spans="2:65" s="99" customFormat="1" ht="16.5" customHeight="1" x14ac:dyDescent="0.2">
      <c r="B452" s="98"/>
      <c r="C452" s="176">
        <v>140</v>
      </c>
      <c r="D452" s="176" t="s">
        <v>129</v>
      </c>
      <c r="E452" s="177" t="s">
        <v>555</v>
      </c>
      <c r="F452" s="178" t="s">
        <v>556</v>
      </c>
      <c r="G452" s="179" t="s">
        <v>557</v>
      </c>
      <c r="H452" s="180">
        <v>8</v>
      </c>
      <c r="I452" s="80"/>
      <c r="J452" s="181">
        <f>ROUND(I452*H452,2)</f>
        <v>0</v>
      </c>
      <c r="K452" s="182"/>
      <c r="L452" s="196"/>
      <c r="M452" s="183" t="s">
        <v>1</v>
      </c>
      <c r="N452" s="184" t="s">
        <v>38</v>
      </c>
      <c r="P452" s="185">
        <f>O452*H452</f>
        <v>0</v>
      </c>
      <c r="Q452" s="185">
        <v>0</v>
      </c>
      <c r="R452" s="185">
        <f>Q452*H452</f>
        <v>0</v>
      </c>
      <c r="S452" s="185">
        <v>0</v>
      </c>
      <c r="T452" s="186">
        <f>S452*H452</f>
        <v>0</v>
      </c>
      <c r="AR452" s="131" t="s">
        <v>131</v>
      </c>
      <c r="AT452" s="131" t="s">
        <v>129</v>
      </c>
      <c r="AU452" s="131" t="s">
        <v>82</v>
      </c>
      <c r="AY452" s="90" t="s">
        <v>127</v>
      </c>
      <c r="BE452" s="187">
        <f>IF(N452="základní",J452,0)</f>
        <v>0</v>
      </c>
      <c r="BF452" s="187">
        <f>IF(N452="snížená",J452,0)</f>
        <v>0</v>
      </c>
      <c r="BG452" s="187">
        <f>IF(N452="zákl. přenesená",J452,0)</f>
        <v>0</v>
      </c>
      <c r="BH452" s="187">
        <f>IF(N452="sníž. přenesená",J452,0)</f>
        <v>0</v>
      </c>
      <c r="BI452" s="187">
        <f>IF(N452="nulová",J452,0)</f>
        <v>0</v>
      </c>
      <c r="BJ452" s="90" t="s">
        <v>80</v>
      </c>
      <c r="BK452" s="187">
        <f>ROUND(I452*H452,2)</f>
        <v>0</v>
      </c>
      <c r="BL452" s="90" t="s">
        <v>131</v>
      </c>
      <c r="BM452" s="131" t="s">
        <v>558</v>
      </c>
    </row>
    <row r="453" spans="2:65" s="99" customFormat="1" ht="16.5" customHeight="1" x14ac:dyDescent="0.2">
      <c r="B453" s="98"/>
      <c r="C453" s="176" t="s">
        <v>559</v>
      </c>
      <c r="D453" s="176" t="s">
        <v>129</v>
      </c>
      <c r="E453" s="177" t="s">
        <v>560</v>
      </c>
      <c r="F453" s="178" t="s">
        <v>561</v>
      </c>
      <c r="G453" s="179" t="s">
        <v>196</v>
      </c>
      <c r="H453" s="180">
        <v>39</v>
      </c>
      <c r="I453" s="80"/>
      <c r="J453" s="181">
        <f>ROUND(I453*H453,2)</f>
        <v>0</v>
      </c>
      <c r="K453" s="182"/>
      <c r="L453" s="196"/>
      <c r="M453" s="183" t="s">
        <v>1</v>
      </c>
      <c r="N453" s="184" t="s">
        <v>38</v>
      </c>
      <c r="P453" s="185">
        <f>O453*H453</f>
        <v>0</v>
      </c>
      <c r="Q453" s="185">
        <v>0.01</v>
      </c>
      <c r="R453" s="185">
        <f>Q453*H453</f>
        <v>0.39</v>
      </c>
      <c r="S453" s="185">
        <v>0</v>
      </c>
      <c r="T453" s="186">
        <f>S453*H453</f>
        <v>0</v>
      </c>
      <c r="AR453" s="131" t="s">
        <v>131</v>
      </c>
      <c r="AT453" s="131" t="s">
        <v>129</v>
      </c>
      <c r="AU453" s="131" t="s">
        <v>82</v>
      </c>
      <c r="AY453" s="90" t="s">
        <v>127</v>
      </c>
      <c r="BE453" s="187">
        <f>IF(N453="základní",J453,0)</f>
        <v>0</v>
      </c>
      <c r="BF453" s="187">
        <f>IF(N453="snížená",J453,0)</f>
        <v>0</v>
      </c>
      <c r="BG453" s="187">
        <f>IF(N453="zákl. přenesená",J453,0)</f>
        <v>0</v>
      </c>
      <c r="BH453" s="187">
        <f>IF(N453="sníž. přenesená",J453,0)</f>
        <v>0</v>
      </c>
      <c r="BI453" s="187">
        <f>IF(N453="nulová",J453,0)</f>
        <v>0</v>
      </c>
      <c r="BJ453" s="90" t="s">
        <v>80</v>
      </c>
      <c r="BK453" s="187">
        <f>ROUND(I453*H453,2)</f>
        <v>0</v>
      </c>
      <c r="BL453" s="90" t="s">
        <v>131</v>
      </c>
      <c r="BM453" s="131" t="s">
        <v>562</v>
      </c>
    </row>
    <row r="454" spans="2:65" s="189" customFormat="1" x14ac:dyDescent="0.2">
      <c r="B454" s="188"/>
      <c r="D454" s="190" t="s">
        <v>132</v>
      </c>
      <c r="E454" s="191" t="s">
        <v>1</v>
      </c>
      <c r="F454" s="192" t="s">
        <v>563</v>
      </c>
      <c r="H454" s="193">
        <v>39</v>
      </c>
      <c r="I454" s="82"/>
      <c r="L454" s="158"/>
      <c r="M454" s="194"/>
      <c r="T454" s="195"/>
      <c r="AT454" s="191" t="s">
        <v>132</v>
      </c>
      <c r="AU454" s="191" t="s">
        <v>82</v>
      </c>
      <c r="AV454" s="189" t="s">
        <v>82</v>
      </c>
      <c r="AW454" s="189" t="s">
        <v>30</v>
      </c>
      <c r="AX454" s="189" t="s">
        <v>72</v>
      </c>
      <c r="AY454" s="191" t="s">
        <v>127</v>
      </c>
    </row>
    <row r="455" spans="2:65" s="99" customFormat="1" ht="24.2" customHeight="1" x14ac:dyDescent="0.2">
      <c r="B455" s="98"/>
      <c r="C455" s="214" t="s">
        <v>564</v>
      </c>
      <c r="D455" s="214" t="s">
        <v>241</v>
      </c>
      <c r="E455" s="215" t="s">
        <v>565</v>
      </c>
      <c r="F455" s="247" t="s">
        <v>879</v>
      </c>
      <c r="G455" s="217" t="s">
        <v>196</v>
      </c>
      <c r="H455" s="218">
        <v>39</v>
      </c>
      <c r="I455" s="85"/>
      <c r="J455" s="219">
        <f>ROUND(I455*H455,2)</f>
        <v>0</v>
      </c>
      <c r="K455" s="220"/>
      <c r="L455" s="246"/>
      <c r="M455" s="221" t="s">
        <v>1</v>
      </c>
      <c r="N455" s="222" t="s">
        <v>38</v>
      </c>
      <c r="P455" s="185">
        <f>O455*H455</f>
        <v>0</v>
      </c>
      <c r="Q455" s="185">
        <v>1.3299999999999999E-2</v>
      </c>
      <c r="R455" s="185">
        <f>Q455*H455</f>
        <v>0.51869999999999994</v>
      </c>
      <c r="S455" s="185">
        <v>0</v>
      </c>
      <c r="T455" s="186">
        <f>S455*H455</f>
        <v>0</v>
      </c>
      <c r="AR455" s="131" t="s">
        <v>148</v>
      </c>
      <c r="AT455" s="131" t="s">
        <v>241</v>
      </c>
      <c r="AU455" s="131" t="s">
        <v>82</v>
      </c>
      <c r="AY455" s="90" t="s">
        <v>127</v>
      </c>
      <c r="BE455" s="187">
        <f>IF(N455="základní",J455,0)</f>
        <v>0</v>
      </c>
      <c r="BF455" s="187">
        <f>IF(N455="snížená",J455,0)</f>
        <v>0</v>
      </c>
      <c r="BG455" s="187">
        <f>IF(N455="zákl. přenesená",J455,0)</f>
        <v>0</v>
      </c>
      <c r="BH455" s="187">
        <f>IF(N455="sníž. přenesená",J455,0)</f>
        <v>0</v>
      </c>
      <c r="BI455" s="187">
        <f>IF(N455="nulová",J455,0)</f>
        <v>0</v>
      </c>
      <c r="BJ455" s="90" t="s">
        <v>80</v>
      </c>
      <c r="BK455" s="187">
        <f>ROUND(I455*H455,2)</f>
        <v>0</v>
      </c>
      <c r="BL455" s="90" t="s">
        <v>131</v>
      </c>
      <c r="BM455" s="131" t="s">
        <v>566</v>
      </c>
    </row>
    <row r="456" spans="2:65" s="99" customFormat="1" ht="16.5" customHeight="1" x14ac:dyDescent="0.2">
      <c r="B456" s="98"/>
      <c r="C456" s="176">
        <v>143</v>
      </c>
      <c r="D456" s="176" t="s">
        <v>129</v>
      </c>
      <c r="E456" s="177" t="s">
        <v>567</v>
      </c>
      <c r="F456" s="178" t="s">
        <v>568</v>
      </c>
      <c r="G456" s="179" t="s">
        <v>196</v>
      </c>
      <c r="H456" s="180">
        <v>11</v>
      </c>
      <c r="I456" s="80"/>
      <c r="J456" s="181">
        <f>ROUND(I456*H456,2)</f>
        <v>0</v>
      </c>
      <c r="K456" s="182"/>
      <c r="L456" s="196"/>
      <c r="M456" s="183" t="s">
        <v>1</v>
      </c>
      <c r="N456" s="184" t="s">
        <v>38</v>
      </c>
      <c r="P456" s="185">
        <f>O456*H456</f>
        <v>0</v>
      </c>
      <c r="Q456" s="185">
        <v>0.05</v>
      </c>
      <c r="R456" s="185">
        <f>Q456*H456</f>
        <v>0.55000000000000004</v>
      </c>
      <c r="S456" s="185">
        <v>0</v>
      </c>
      <c r="T456" s="186">
        <f>S456*H456</f>
        <v>0</v>
      </c>
      <c r="AR456" s="131" t="s">
        <v>131</v>
      </c>
      <c r="AT456" s="131" t="s">
        <v>129</v>
      </c>
      <c r="AU456" s="131" t="s">
        <v>82</v>
      </c>
      <c r="AY456" s="90" t="s">
        <v>127</v>
      </c>
      <c r="BE456" s="187">
        <f>IF(N456="základní",J456,0)</f>
        <v>0</v>
      </c>
      <c r="BF456" s="187">
        <f>IF(N456="snížená",J456,0)</f>
        <v>0</v>
      </c>
      <c r="BG456" s="187">
        <f>IF(N456="zákl. přenesená",J456,0)</f>
        <v>0</v>
      </c>
      <c r="BH456" s="187">
        <f>IF(N456="sníž. přenesená",J456,0)</f>
        <v>0</v>
      </c>
      <c r="BI456" s="187">
        <f>IF(N456="nulová",J456,0)</f>
        <v>0</v>
      </c>
      <c r="BJ456" s="90" t="s">
        <v>80</v>
      </c>
      <c r="BK456" s="187">
        <f>ROUND(I456*H456,2)</f>
        <v>0</v>
      </c>
      <c r="BL456" s="90" t="s">
        <v>131</v>
      </c>
      <c r="BM456" s="131" t="s">
        <v>569</v>
      </c>
    </row>
    <row r="457" spans="2:65" s="189" customFormat="1" x14ac:dyDescent="0.2">
      <c r="B457" s="188"/>
      <c r="D457" s="190" t="s">
        <v>132</v>
      </c>
      <c r="E457" s="191" t="s">
        <v>1</v>
      </c>
      <c r="F457" s="192" t="s">
        <v>570</v>
      </c>
      <c r="H457" s="193">
        <v>11</v>
      </c>
      <c r="I457" s="82"/>
      <c r="L457" s="158"/>
      <c r="M457" s="194"/>
      <c r="T457" s="195"/>
      <c r="AT457" s="191" t="s">
        <v>132</v>
      </c>
      <c r="AU457" s="191" t="s">
        <v>82</v>
      </c>
      <c r="AV457" s="189" t="s">
        <v>82</v>
      </c>
      <c r="AW457" s="189" t="s">
        <v>30</v>
      </c>
      <c r="AX457" s="189" t="s">
        <v>72</v>
      </c>
      <c r="AY457" s="191" t="s">
        <v>127</v>
      </c>
    </row>
    <row r="458" spans="2:65" s="99" customFormat="1" ht="23.25" customHeight="1" x14ac:dyDescent="0.2">
      <c r="B458" s="98"/>
      <c r="C458" s="214">
        <v>144</v>
      </c>
      <c r="D458" s="214" t="s">
        <v>241</v>
      </c>
      <c r="E458" s="215" t="s">
        <v>571</v>
      </c>
      <c r="F458" s="247" t="s">
        <v>880</v>
      </c>
      <c r="G458" s="217" t="s">
        <v>196</v>
      </c>
      <c r="H458" s="218">
        <v>11</v>
      </c>
      <c r="I458" s="85"/>
      <c r="J458" s="219">
        <f>ROUND(I458*H458,2)</f>
        <v>0</v>
      </c>
      <c r="K458" s="220"/>
      <c r="L458" s="246"/>
      <c r="M458" s="221" t="s">
        <v>1</v>
      </c>
      <c r="N458" s="222" t="s">
        <v>38</v>
      </c>
      <c r="P458" s="185">
        <f>O458*H458</f>
        <v>0</v>
      </c>
      <c r="Q458" s="185">
        <v>2.9499999999999998E-2</v>
      </c>
      <c r="R458" s="185">
        <f>Q458*H458</f>
        <v>0.32450000000000001</v>
      </c>
      <c r="S458" s="185">
        <v>0</v>
      </c>
      <c r="T458" s="186">
        <f>S458*H458</f>
        <v>0</v>
      </c>
      <c r="AR458" s="131" t="s">
        <v>148</v>
      </c>
      <c r="AT458" s="131" t="s">
        <v>241</v>
      </c>
      <c r="AU458" s="131" t="s">
        <v>82</v>
      </c>
      <c r="AY458" s="90" t="s">
        <v>127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90" t="s">
        <v>80</v>
      </c>
      <c r="BK458" s="187">
        <f>ROUND(I458*H458,2)</f>
        <v>0</v>
      </c>
      <c r="BL458" s="90" t="s">
        <v>131</v>
      </c>
      <c r="BM458" s="131" t="s">
        <v>572</v>
      </c>
    </row>
    <row r="459" spans="2:65" s="99" customFormat="1" ht="23.25" customHeight="1" x14ac:dyDescent="0.2">
      <c r="B459" s="98"/>
      <c r="C459" s="214">
        <v>145</v>
      </c>
      <c r="D459" s="214" t="s">
        <v>241</v>
      </c>
      <c r="E459" s="215" t="s">
        <v>573</v>
      </c>
      <c r="F459" s="247" t="s">
        <v>881</v>
      </c>
      <c r="G459" s="217" t="s">
        <v>196</v>
      </c>
      <c r="H459" s="218">
        <v>11</v>
      </c>
      <c r="I459" s="85"/>
      <c r="J459" s="219">
        <f>ROUND(I459*H459,2)</f>
        <v>0</v>
      </c>
      <c r="K459" s="220"/>
      <c r="L459" s="246"/>
      <c r="M459" s="221" t="s">
        <v>1</v>
      </c>
      <c r="N459" s="222" t="s">
        <v>38</v>
      </c>
      <c r="P459" s="185">
        <f>O459*H459</f>
        <v>0</v>
      </c>
      <c r="Q459" s="185">
        <v>1.9E-3</v>
      </c>
      <c r="R459" s="185">
        <f>Q459*H459</f>
        <v>2.0899999999999998E-2</v>
      </c>
      <c r="S459" s="185">
        <v>0</v>
      </c>
      <c r="T459" s="186">
        <f>S459*H459</f>
        <v>0</v>
      </c>
      <c r="AR459" s="131" t="s">
        <v>148</v>
      </c>
      <c r="AT459" s="131" t="s">
        <v>241</v>
      </c>
      <c r="AU459" s="131" t="s">
        <v>82</v>
      </c>
      <c r="AY459" s="90" t="s">
        <v>127</v>
      </c>
      <c r="BE459" s="187">
        <f>IF(N459="základní",J459,0)</f>
        <v>0</v>
      </c>
      <c r="BF459" s="187">
        <f>IF(N459="snížená",J459,0)</f>
        <v>0</v>
      </c>
      <c r="BG459" s="187">
        <f>IF(N459="zákl. přenesená",J459,0)</f>
        <v>0</v>
      </c>
      <c r="BH459" s="187">
        <f>IF(N459="sníž. přenesená",J459,0)</f>
        <v>0</v>
      </c>
      <c r="BI459" s="187">
        <f>IF(N459="nulová",J459,0)</f>
        <v>0</v>
      </c>
      <c r="BJ459" s="90" t="s">
        <v>80</v>
      </c>
      <c r="BK459" s="187">
        <f>ROUND(I459*H459,2)</f>
        <v>0</v>
      </c>
      <c r="BL459" s="90" t="s">
        <v>131</v>
      </c>
      <c r="BM459" s="131" t="s">
        <v>574</v>
      </c>
    </row>
    <row r="460" spans="2:65" s="99" customFormat="1" ht="24.2" customHeight="1" x14ac:dyDescent="0.2">
      <c r="B460" s="98"/>
      <c r="C460" s="176">
        <v>146</v>
      </c>
      <c r="D460" s="176" t="s">
        <v>129</v>
      </c>
      <c r="E460" s="177"/>
      <c r="F460" s="178" t="s">
        <v>904</v>
      </c>
      <c r="G460" s="179" t="s">
        <v>196</v>
      </c>
      <c r="H460" s="180">
        <f>SUM(H461:H462)</f>
        <v>11</v>
      </c>
      <c r="I460" s="80"/>
      <c r="J460" s="181">
        <f>ROUND(I460*H460,2)</f>
        <v>0</v>
      </c>
      <c r="K460" s="182"/>
      <c r="L460" s="196"/>
      <c r="M460" s="183" t="s">
        <v>1</v>
      </c>
      <c r="N460" s="184" t="s">
        <v>38</v>
      </c>
      <c r="P460" s="185">
        <f>O460*H460</f>
        <v>0</v>
      </c>
      <c r="Q460" s="185">
        <v>1.299E-2</v>
      </c>
      <c r="R460" s="185">
        <f>Q460*H460</f>
        <v>0.14288999999999999</v>
      </c>
      <c r="S460" s="185">
        <v>4.0000000000000001E-3</v>
      </c>
      <c r="T460" s="186">
        <f>S460*H460</f>
        <v>4.3999999999999997E-2</v>
      </c>
      <c r="AR460" s="131" t="s">
        <v>131</v>
      </c>
      <c r="AT460" s="131" t="s">
        <v>129</v>
      </c>
      <c r="AU460" s="131" t="s">
        <v>82</v>
      </c>
      <c r="AY460" s="90" t="s">
        <v>127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90" t="s">
        <v>80</v>
      </c>
      <c r="BK460" s="187">
        <f>ROUND(I460*H460,2)</f>
        <v>0</v>
      </c>
      <c r="BL460" s="90" t="s">
        <v>131</v>
      </c>
      <c r="BM460" s="131" t="s">
        <v>575</v>
      </c>
    </row>
    <row r="461" spans="2:65" s="189" customFormat="1" x14ac:dyDescent="0.2">
      <c r="B461" s="188"/>
      <c r="D461" s="190" t="s">
        <v>132</v>
      </c>
      <c r="E461" s="191" t="s">
        <v>1</v>
      </c>
      <c r="F461" s="192" t="s">
        <v>576</v>
      </c>
      <c r="H461" s="193">
        <v>6</v>
      </c>
      <c r="I461" s="82"/>
      <c r="L461" s="158"/>
      <c r="M461" s="194"/>
      <c r="T461" s="195"/>
      <c r="AT461" s="191" t="s">
        <v>132</v>
      </c>
      <c r="AU461" s="191" t="s">
        <v>82</v>
      </c>
      <c r="AV461" s="189" t="s">
        <v>82</v>
      </c>
      <c r="AW461" s="189" t="s">
        <v>30</v>
      </c>
      <c r="AX461" s="189" t="s">
        <v>72</v>
      </c>
      <c r="AY461" s="191" t="s">
        <v>127</v>
      </c>
    </row>
    <row r="462" spans="2:65" s="189" customFormat="1" x14ac:dyDescent="0.2">
      <c r="B462" s="188"/>
      <c r="D462" s="190" t="s">
        <v>132</v>
      </c>
      <c r="E462" s="191" t="s">
        <v>1</v>
      </c>
      <c r="F462" s="192" t="s">
        <v>903</v>
      </c>
      <c r="H462" s="193">
        <v>5</v>
      </c>
      <c r="I462" s="82"/>
      <c r="L462" s="158"/>
      <c r="M462" s="194"/>
      <c r="T462" s="195"/>
      <c r="AT462" s="191" t="s">
        <v>132</v>
      </c>
      <c r="AU462" s="191" t="s">
        <v>82</v>
      </c>
      <c r="AV462" s="189" t="s">
        <v>82</v>
      </c>
      <c r="AW462" s="189" t="s">
        <v>30</v>
      </c>
      <c r="AX462" s="189" t="s">
        <v>72</v>
      </c>
      <c r="AY462" s="191" t="s">
        <v>127</v>
      </c>
    </row>
    <row r="463" spans="2:65" s="99" customFormat="1" ht="24.2" customHeight="1" x14ac:dyDescent="0.2">
      <c r="B463" s="98"/>
      <c r="C463" s="176">
        <v>147</v>
      </c>
      <c r="D463" s="176" t="s">
        <v>129</v>
      </c>
      <c r="E463" s="177" t="s">
        <v>577</v>
      </c>
      <c r="F463" s="178" t="s">
        <v>578</v>
      </c>
      <c r="G463" s="179" t="s">
        <v>160</v>
      </c>
      <c r="H463" s="180">
        <f>H447</f>
        <v>3416.29</v>
      </c>
      <c r="I463" s="80"/>
      <c r="J463" s="181">
        <f>ROUND(I463*H463,2)</f>
        <v>0</v>
      </c>
      <c r="K463" s="182"/>
      <c r="L463" s="196"/>
      <c r="M463" s="183" t="s">
        <v>1</v>
      </c>
      <c r="N463" s="184" t="s">
        <v>38</v>
      </c>
      <c r="P463" s="185">
        <f>O463*H463</f>
        <v>0</v>
      </c>
      <c r="Q463" s="185">
        <v>1.2999999999999999E-4</v>
      </c>
      <c r="R463" s="185">
        <f>Q463*H463</f>
        <v>0.44411769999999995</v>
      </c>
      <c r="S463" s="185">
        <v>0</v>
      </c>
      <c r="T463" s="186">
        <f>S463*H463</f>
        <v>0</v>
      </c>
      <c r="AR463" s="131" t="s">
        <v>131</v>
      </c>
      <c r="AT463" s="131" t="s">
        <v>129</v>
      </c>
      <c r="AU463" s="131" t="s">
        <v>82</v>
      </c>
      <c r="AY463" s="90" t="s">
        <v>127</v>
      </c>
      <c r="BE463" s="187">
        <f>IF(N463="základní",J463,0)</f>
        <v>0</v>
      </c>
      <c r="BF463" s="187">
        <f>IF(N463="snížená",J463,0)</f>
        <v>0</v>
      </c>
      <c r="BG463" s="187">
        <f>IF(N463="zákl. přenesená",J463,0)</f>
        <v>0</v>
      </c>
      <c r="BH463" s="187">
        <f>IF(N463="sníž. přenesená",J463,0)</f>
        <v>0</v>
      </c>
      <c r="BI463" s="187">
        <f>IF(N463="nulová",J463,0)</f>
        <v>0</v>
      </c>
      <c r="BJ463" s="90" t="s">
        <v>80</v>
      </c>
      <c r="BK463" s="187">
        <f>ROUND(I463*H463,2)</f>
        <v>0</v>
      </c>
      <c r="BL463" s="90" t="s">
        <v>131</v>
      </c>
      <c r="BM463" s="131" t="s">
        <v>579</v>
      </c>
    </row>
    <row r="464" spans="2:65" s="99" customFormat="1" ht="38.25" customHeight="1" x14ac:dyDescent="0.2">
      <c r="B464" s="98"/>
      <c r="C464" s="176">
        <v>148</v>
      </c>
      <c r="D464" s="176" t="s">
        <v>129</v>
      </c>
      <c r="E464" s="177"/>
      <c r="F464" s="178" t="s">
        <v>894</v>
      </c>
      <c r="G464" s="179" t="s">
        <v>196</v>
      </c>
      <c r="H464" s="180">
        <v>39</v>
      </c>
      <c r="I464" s="80"/>
      <c r="J464" s="181">
        <f t="shared" ref="J464:J465" si="61">ROUND(I464*H464,2)</f>
        <v>0</v>
      </c>
      <c r="K464" s="182"/>
      <c r="L464" s="196"/>
      <c r="M464" s="183"/>
      <c r="N464" s="184"/>
      <c r="P464" s="185"/>
      <c r="Q464" s="185"/>
      <c r="R464" s="185"/>
      <c r="S464" s="185"/>
      <c r="T464" s="186"/>
      <c r="AR464" s="131"/>
      <c r="AT464" s="131"/>
      <c r="AU464" s="131"/>
      <c r="AY464" s="90"/>
      <c r="BE464" s="187"/>
      <c r="BF464" s="187"/>
      <c r="BG464" s="187"/>
      <c r="BH464" s="187"/>
      <c r="BI464" s="187"/>
      <c r="BJ464" s="90"/>
      <c r="BK464" s="187"/>
      <c r="BL464" s="90"/>
      <c r="BM464" s="131"/>
    </row>
    <row r="465" spans="2:65" s="99" customFormat="1" ht="24.2" customHeight="1" x14ac:dyDescent="0.2">
      <c r="B465" s="98"/>
      <c r="C465" s="176">
        <v>149</v>
      </c>
      <c r="D465" s="176" t="s">
        <v>129</v>
      </c>
      <c r="E465" s="177"/>
      <c r="F465" s="178" t="s">
        <v>900</v>
      </c>
      <c r="G465" s="179" t="s">
        <v>196</v>
      </c>
      <c r="H465" s="180">
        <v>39</v>
      </c>
      <c r="I465" s="80"/>
      <c r="J465" s="181">
        <f t="shared" si="61"/>
        <v>0</v>
      </c>
      <c r="K465" s="182"/>
      <c r="L465" s="196"/>
      <c r="M465" s="183"/>
      <c r="N465" s="184"/>
      <c r="P465" s="185"/>
      <c r="Q465" s="185"/>
      <c r="R465" s="185"/>
      <c r="S465" s="185"/>
      <c r="T465" s="186"/>
      <c r="AR465" s="131"/>
      <c r="AT465" s="131"/>
      <c r="AU465" s="131"/>
      <c r="AY465" s="90"/>
      <c r="BE465" s="187"/>
      <c r="BF465" s="187"/>
      <c r="BG465" s="187"/>
      <c r="BH465" s="187"/>
      <c r="BI465" s="187"/>
      <c r="BJ465" s="90"/>
      <c r="BK465" s="187"/>
      <c r="BL465" s="90"/>
      <c r="BM465" s="131"/>
    </row>
    <row r="466" spans="2:65" s="99" customFormat="1" ht="24.2" customHeight="1" x14ac:dyDescent="0.2">
      <c r="B466" s="98"/>
      <c r="C466" s="176">
        <v>150</v>
      </c>
      <c r="D466" s="176" t="s">
        <v>129</v>
      </c>
      <c r="E466" s="177" t="s">
        <v>896</v>
      </c>
      <c r="F466" s="178" t="s">
        <v>899</v>
      </c>
      <c r="G466" s="179" t="s">
        <v>196</v>
      </c>
      <c r="H466" s="180">
        <v>25</v>
      </c>
      <c r="I466" s="80"/>
      <c r="J466" s="181">
        <f t="shared" ref="J466:J467" si="62">ROUND(I466*H466,2)</f>
        <v>0</v>
      </c>
      <c r="K466" s="182"/>
      <c r="L466" s="196"/>
      <c r="M466" s="183"/>
      <c r="N466" s="184"/>
      <c r="P466" s="185"/>
      <c r="Q466" s="185"/>
      <c r="R466" s="185"/>
      <c r="S466" s="185"/>
      <c r="T466" s="186"/>
      <c r="AR466" s="131"/>
      <c r="AT466" s="131"/>
      <c r="AU466" s="131"/>
      <c r="AY466" s="90"/>
      <c r="BE466" s="187"/>
      <c r="BF466" s="187"/>
      <c r="BG466" s="187"/>
      <c r="BH466" s="187"/>
      <c r="BI466" s="187"/>
      <c r="BJ466" s="90"/>
      <c r="BK466" s="187"/>
      <c r="BL466" s="90"/>
      <c r="BM466" s="131"/>
    </row>
    <row r="467" spans="2:65" s="99" customFormat="1" ht="24.2" customHeight="1" x14ac:dyDescent="0.2">
      <c r="B467" s="98"/>
      <c r="C467" s="176">
        <v>151</v>
      </c>
      <c r="D467" s="176" t="s">
        <v>129</v>
      </c>
      <c r="E467" s="177" t="s">
        <v>897</v>
      </c>
      <c r="F467" s="178" t="s">
        <v>898</v>
      </c>
      <c r="G467" s="179" t="s">
        <v>196</v>
      </c>
      <c r="H467" s="180">
        <v>2</v>
      </c>
      <c r="I467" s="80"/>
      <c r="J467" s="181">
        <f t="shared" si="62"/>
        <v>0</v>
      </c>
      <c r="K467" s="182"/>
      <c r="L467" s="196"/>
      <c r="M467" s="183"/>
      <c r="N467" s="184"/>
      <c r="P467" s="185"/>
      <c r="Q467" s="185"/>
      <c r="R467" s="185"/>
      <c r="S467" s="185"/>
      <c r="T467" s="186"/>
      <c r="AR467" s="131"/>
      <c r="AT467" s="131"/>
      <c r="AU467" s="131"/>
      <c r="AY467" s="90"/>
      <c r="BE467" s="187"/>
      <c r="BF467" s="187"/>
      <c r="BG467" s="187"/>
      <c r="BH467" s="187"/>
      <c r="BI467" s="187"/>
      <c r="BJ467" s="90"/>
      <c r="BK467" s="187"/>
      <c r="BL467" s="90"/>
      <c r="BM467" s="131"/>
    </row>
    <row r="468" spans="2:65" s="99" customFormat="1" ht="24.2" customHeight="1" x14ac:dyDescent="0.2">
      <c r="B468" s="98"/>
      <c r="C468" s="176" t="s">
        <v>1057</v>
      </c>
      <c r="D468" s="176" t="s">
        <v>129</v>
      </c>
      <c r="E468" s="177"/>
      <c r="F468" s="178" t="s">
        <v>1058</v>
      </c>
      <c r="G468" s="179" t="s">
        <v>196</v>
      </c>
      <c r="H468" s="180">
        <v>4</v>
      </c>
      <c r="I468" s="80"/>
      <c r="J468" s="181">
        <f t="shared" ref="J468" si="63">ROUND(I468*H468,2)</f>
        <v>0</v>
      </c>
      <c r="K468" s="182"/>
      <c r="L468" s="196"/>
      <c r="M468" s="183"/>
      <c r="N468" s="184"/>
      <c r="P468" s="185"/>
      <c r="Q468" s="185"/>
      <c r="R468" s="185"/>
      <c r="S468" s="185"/>
      <c r="T468" s="186"/>
      <c r="AR468" s="131"/>
      <c r="AT468" s="131"/>
      <c r="AU468" s="131"/>
      <c r="AY468" s="90"/>
      <c r="BE468" s="187"/>
      <c r="BF468" s="187"/>
      <c r="BG468" s="187"/>
      <c r="BH468" s="187"/>
      <c r="BI468" s="187"/>
      <c r="BJ468" s="90"/>
      <c r="BK468" s="187"/>
      <c r="BL468" s="90"/>
      <c r="BM468" s="131"/>
    </row>
    <row r="469" spans="2:65" s="99" customFormat="1" ht="16.5" customHeight="1" x14ac:dyDescent="0.2">
      <c r="B469" s="98"/>
      <c r="C469" s="176">
        <v>152</v>
      </c>
      <c r="D469" s="176" t="s">
        <v>129</v>
      </c>
      <c r="E469" s="177" t="s">
        <v>580</v>
      </c>
      <c r="F469" s="178" t="s">
        <v>901</v>
      </c>
      <c r="G469" s="179" t="s">
        <v>196</v>
      </c>
      <c r="H469" s="180">
        <v>11</v>
      </c>
      <c r="I469" s="80"/>
      <c r="J469" s="181">
        <f>ROUND(I469*H469,2)</f>
        <v>0</v>
      </c>
      <c r="K469" s="182"/>
      <c r="L469" s="196"/>
      <c r="M469" s="183" t="s">
        <v>1</v>
      </c>
      <c r="N469" s="184" t="s">
        <v>38</v>
      </c>
      <c r="P469" s="185">
        <f>O469*H469</f>
        <v>0</v>
      </c>
      <c r="Q469" s="185">
        <v>0</v>
      </c>
      <c r="R469" s="185">
        <f>Q469*H469</f>
        <v>0</v>
      </c>
      <c r="S469" s="185">
        <v>8.0000000000000002E-3</v>
      </c>
      <c r="T469" s="186">
        <f>S469*H469</f>
        <v>8.7999999999999995E-2</v>
      </c>
      <c r="AR469" s="131" t="s">
        <v>131</v>
      </c>
      <c r="AT469" s="131" t="s">
        <v>129</v>
      </c>
      <c r="AU469" s="131" t="s">
        <v>82</v>
      </c>
      <c r="AY469" s="90" t="s">
        <v>127</v>
      </c>
      <c r="BE469" s="187">
        <f>IF(N469="základní",J469,0)</f>
        <v>0</v>
      </c>
      <c r="BF469" s="187">
        <f>IF(N469="snížená",J469,0)</f>
        <v>0</v>
      </c>
      <c r="BG469" s="187">
        <f>IF(N469="zákl. přenesená",J469,0)</f>
        <v>0</v>
      </c>
      <c r="BH469" s="187">
        <f>IF(N469="sníž. přenesená",J469,0)</f>
        <v>0</v>
      </c>
      <c r="BI469" s="187">
        <f>IF(N469="nulová",J469,0)</f>
        <v>0</v>
      </c>
      <c r="BJ469" s="90" t="s">
        <v>80</v>
      </c>
      <c r="BK469" s="187">
        <f>ROUND(I469*H469,2)</f>
        <v>0</v>
      </c>
      <c r="BL469" s="90" t="s">
        <v>131</v>
      </c>
      <c r="BM469" s="131" t="s">
        <v>581</v>
      </c>
    </row>
    <row r="470" spans="2:65" s="189" customFormat="1" x14ac:dyDescent="0.2">
      <c r="B470" s="188"/>
      <c r="D470" s="190" t="s">
        <v>132</v>
      </c>
      <c r="E470" s="191" t="s">
        <v>1</v>
      </c>
      <c r="F470" s="192" t="s">
        <v>576</v>
      </c>
      <c r="H470" s="193">
        <v>6</v>
      </c>
      <c r="I470" s="82"/>
      <c r="L470" s="158"/>
      <c r="M470" s="194"/>
      <c r="T470" s="195"/>
      <c r="AT470" s="191" t="s">
        <v>132</v>
      </c>
      <c r="AU470" s="191" t="s">
        <v>82</v>
      </c>
      <c r="AV470" s="189" t="s">
        <v>82</v>
      </c>
      <c r="AW470" s="189" t="s">
        <v>30</v>
      </c>
      <c r="AX470" s="189" t="s">
        <v>72</v>
      </c>
      <c r="AY470" s="191" t="s">
        <v>127</v>
      </c>
    </row>
    <row r="471" spans="2:65" s="189" customFormat="1" x14ac:dyDescent="0.2">
      <c r="B471" s="188"/>
      <c r="D471" s="190" t="s">
        <v>132</v>
      </c>
      <c r="E471" s="191" t="s">
        <v>1</v>
      </c>
      <c r="F471" s="192" t="s">
        <v>903</v>
      </c>
      <c r="H471" s="193">
        <v>5</v>
      </c>
      <c r="I471" s="82"/>
      <c r="L471" s="158"/>
      <c r="M471" s="194"/>
      <c r="T471" s="195"/>
      <c r="AT471" s="191" t="s">
        <v>132</v>
      </c>
      <c r="AU471" s="191" t="s">
        <v>82</v>
      </c>
      <c r="AV471" s="189" t="s">
        <v>82</v>
      </c>
      <c r="AW471" s="189" t="s">
        <v>30</v>
      </c>
      <c r="AX471" s="189" t="s">
        <v>72</v>
      </c>
      <c r="AY471" s="191" t="s">
        <v>127</v>
      </c>
    </row>
    <row r="472" spans="2:65" s="164" customFormat="1" ht="22.9" customHeight="1" x14ac:dyDescent="0.2">
      <c r="B472" s="163"/>
      <c r="D472" s="165" t="s">
        <v>71</v>
      </c>
      <c r="E472" s="174" t="s">
        <v>153</v>
      </c>
      <c r="F472" s="174" t="s">
        <v>582</v>
      </c>
      <c r="I472" s="79"/>
      <c r="J472" s="175">
        <f>SUM(J473:J495)</f>
        <v>0</v>
      </c>
      <c r="L472" s="168"/>
      <c r="M472" s="169"/>
      <c r="P472" s="170">
        <f>SUM(P473:P491)</f>
        <v>0</v>
      </c>
      <c r="R472" s="170">
        <f>SUM(R473:R491)</f>
        <v>0.17231999999999997</v>
      </c>
      <c r="T472" s="171">
        <f>SUM(T473:T491)</f>
        <v>0.24</v>
      </c>
      <c r="AR472" s="165" t="s">
        <v>80</v>
      </c>
      <c r="AT472" s="172" t="s">
        <v>71</v>
      </c>
      <c r="AU472" s="172" t="s">
        <v>80</v>
      </c>
      <c r="AY472" s="165" t="s">
        <v>127</v>
      </c>
      <c r="BK472" s="173">
        <f>SUM(BK473:BK491)</f>
        <v>0</v>
      </c>
    </row>
    <row r="473" spans="2:65" s="99" customFormat="1" ht="24.2" customHeight="1" x14ac:dyDescent="0.2">
      <c r="B473" s="98"/>
      <c r="C473" s="176">
        <v>153</v>
      </c>
      <c r="D473" s="176" t="s">
        <v>129</v>
      </c>
      <c r="E473" s="177" t="s">
        <v>583</v>
      </c>
      <c r="F473" s="178" t="s">
        <v>584</v>
      </c>
      <c r="G473" s="179" t="s">
        <v>160</v>
      </c>
      <c r="H473" s="180">
        <f>H476</f>
        <v>3218.3999999999996</v>
      </c>
      <c r="I473" s="80"/>
      <c r="J473" s="181">
        <f>ROUND(I473*H473,2)</f>
        <v>0</v>
      </c>
      <c r="K473" s="182"/>
      <c r="L473" s="196"/>
      <c r="M473" s="183" t="s">
        <v>1</v>
      </c>
      <c r="N473" s="184" t="s">
        <v>38</v>
      </c>
      <c r="P473" s="185">
        <f>O473*H473</f>
        <v>0</v>
      </c>
      <c r="Q473" s="185">
        <v>0</v>
      </c>
      <c r="R473" s="185">
        <f>Q473*H473</f>
        <v>0</v>
      </c>
      <c r="S473" s="185">
        <v>0</v>
      </c>
      <c r="T473" s="186">
        <f>S473*H473</f>
        <v>0</v>
      </c>
      <c r="AR473" s="131" t="s">
        <v>131</v>
      </c>
      <c r="AT473" s="131" t="s">
        <v>129</v>
      </c>
      <c r="AU473" s="131" t="s">
        <v>82</v>
      </c>
      <c r="AY473" s="90" t="s">
        <v>127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90" t="s">
        <v>80</v>
      </c>
      <c r="BK473" s="187">
        <f>ROUND(I473*H473,2)</f>
        <v>0</v>
      </c>
      <c r="BL473" s="90" t="s">
        <v>131</v>
      </c>
      <c r="BM473" s="131" t="s">
        <v>585</v>
      </c>
    </row>
    <row r="474" spans="2:65" s="189" customFormat="1" x14ac:dyDescent="0.2">
      <c r="B474" s="188"/>
      <c r="D474" s="190" t="s">
        <v>132</v>
      </c>
      <c r="E474" s="191" t="s">
        <v>1</v>
      </c>
      <c r="F474" s="192" t="s">
        <v>882</v>
      </c>
      <c r="H474" s="193">
        <f>(513+2.4+2.5+2.5+3+82)*2</f>
        <v>1210.8</v>
      </c>
      <c r="I474" s="82"/>
      <c r="L474" s="158"/>
      <c r="M474" s="194"/>
      <c r="T474" s="195"/>
      <c r="AT474" s="191" t="s">
        <v>132</v>
      </c>
      <c r="AU474" s="191" t="s">
        <v>82</v>
      </c>
      <c r="AV474" s="189" t="s">
        <v>82</v>
      </c>
      <c r="AW474" s="189" t="s">
        <v>30</v>
      </c>
      <c r="AX474" s="189" t="s">
        <v>72</v>
      </c>
      <c r="AY474" s="191" t="s">
        <v>127</v>
      </c>
    </row>
    <row r="475" spans="2:65" s="189" customFormat="1" x14ac:dyDescent="0.2">
      <c r="B475" s="188"/>
      <c r="D475" s="190" t="s">
        <v>132</v>
      </c>
      <c r="E475" s="191" t="s">
        <v>1</v>
      </c>
      <c r="F475" s="192" t="s">
        <v>883</v>
      </c>
      <c r="H475" s="193">
        <f xml:space="preserve"> (244.4+10+94.9+38.5+616)*2</f>
        <v>2007.6</v>
      </c>
      <c r="I475" s="82"/>
      <c r="L475" s="158"/>
      <c r="M475" s="194"/>
      <c r="T475" s="195"/>
      <c r="AT475" s="191" t="s">
        <v>132</v>
      </c>
      <c r="AU475" s="191" t="s">
        <v>82</v>
      </c>
      <c r="AV475" s="189" t="s">
        <v>82</v>
      </c>
      <c r="AW475" s="189" t="s">
        <v>30</v>
      </c>
      <c r="AX475" s="189" t="s">
        <v>72</v>
      </c>
      <c r="AY475" s="191" t="s">
        <v>127</v>
      </c>
    </row>
    <row r="476" spans="2:65" s="198" customFormat="1" x14ac:dyDescent="0.2">
      <c r="B476" s="197"/>
      <c r="D476" s="190" t="s">
        <v>132</v>
      </c>
      <c r="E476" s="199" t="s">
        <v>1</v>
      </c>
      <c r="F476" s="200" t="s">
        <v>133</v>
      </c>
      <c r="H476" s="201">
        <f>SUM(H474:H475)</f>
        <v>3218.3999999999996</v>
      </c>
      <c r="I476" s="83"/>
      <c r="L476" s="202"/>
      <c r="M476" s="203"/>
      <c r="T476" s="204"/>
      <c r="AT476" s="199" t="s">
        <v>132</v>
      </c>
      <c r="AU476" s="199" t="s">
        <v>82</v>
      </c>
      <c r="AV476" s="198" t="s">
        <v>131</v>
      </c>
      <c r="AW476" s="198" t="s">
        <v>30</v>
      </c>
      <c r="AX476" s="198" t="s">
        <v>80</v>
      </c>
      <c r="AY476" s="199" t="s">
        <v>127</v>
      </c>
    </row>
    <row r="477" spans="2:65" s="99" customFormat="1" ht="24.2" customHeight="1" x14ac:dyDescent="0.2">
      <c r="B477" s="98"/>
      <c r="C477" s="176">
        <v>154</v>
      </c>
      <c r="D477" s="176" t="s">
        <v>129</v>
      </c>
      <c r="E477" s="177" t="s">
        <v>586</v>
      </c>
      <c r="F477" s="178" t="s">
        <v>587</v>
      </c>
      <c r="G477" s="179" t="s">
        <v>160</v>
      </c>
      <c r="H477" s="180">
        <f>H480</f>
        <v>3218.3999999999996</v>
      </c>
      <c r="I477" s="80"/>
      <c r="J477" s="181">
        <f>ROUND(I477*H477,2)</f>
        <v>0</v>
      </c>
      <c r="K477" s="182"/>
      <c r="L477" s="196"/>
      <c r="M477" s="183" t="s">
        <v>1</v>
      </c>
      <c r="N477" s="184" t="s">
        <v>38</v>
      </c>
      <c r="P477" s="185">
        <f>O477*H477</f>
        <v>0</v>
      </c>
      <c r="Q477" s="185">
        <v>5.0000000000000002E-5</v>
      </c>
      <c r="R477" s="185">
        <f>Q477*H477</f>
        <v>0.16091999999999998</v>
      </c>
      <c r="S477" s="185">
        <v>0</v>
      </c>
      <c r="T477" s="186">
        <f>S477*H477</f>
        <v>0</v>
      </c>
      <c r="AR477" s="131" t="s">
        <v>131</v>
      </c>
      <c r="AT477" s="131" t="s">
        <v>129</v>
      </c>
      <c r="AU477" s="131" t="s">
        <v>82</v>
      </c>
      <c r="AY477" s="90" t="s">
        <v>127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90" t="s">
        <v>80</v>
      </c>
      <c r="BK477" s="187">
        <f>ROUND(I477*H477,2)</f>
        <v>0</v>
      </c>
      <c r="BL477" s="90" t="s">
        <v>131</v>
      </c>
      <c r="BM477" s="131" t="s">
        <v>588</v>
      </c>
    </row>
    <row r="478" spans="2:65" s="189" customFormat="1" x14ac:dyDescent="0.2">
      <c r="B478" s="188"/>
      <c r="D478" s="190" t="s">
        <v>132</v>
      </c>
      <c r="E478" s="191" t="s">
        <v>1</v>
      </c>
      <c r="F478" s="192" t="s">
        <v>882</v>
      </c>
      <c r="H478" s="193">
        <f>(513+2.4+2.5+2.5+3+82)*2</f>
        <v>1210.8</v>
      </c>
      <c r="I478" s="82"/>
      <c r="L478" s="158"/>
      <c r="M478" s="194"/>
      <c r="T478" s="195"/>
      <c r="AT478" s="191" t="s">
        <v>132</v>
      </c>
      <c r="AU478" s="191" t="s">
        <v>82</v>
      </c>
      <c r="AV478" s="189" t="s">
        <v>82</v>
      </c>
      <c r="AW478" s="189" t="s">
        <v>30</v>
      </c>
      <c r="AX478" s="189" t="s">
        <v>72</v>
      </c>
      <c r="AY478" s="191" t="s">
        <v>127</v>
      </c>
    </row>
    <row r="479" spans="2:65" s="189" customFormat="1" x14ac:dyDescent="0.2">
      <c r="B479" s="188"/>
      <c r="D479" s="190" t="s">
        <v>132</v>
      </c>
      <c r="E479" s="191" t="s">
        <v>1</v>
      </c>
      <c r="F479" s="192" t="s">
        <v>883</v>
      </c>
      <c r="H479" s="193">
        <f xml:space="preserve"> (244.4+10+94.9+38.5+616)*2</f>
        <v>2007.6</v>
      </c>
      <c r="I479" s="82"/>
      <c r="L479" s="158"/>
      <c r="M479" s="194"/>
      <c r="T479" s="195"/>
      <c r="AT479" s="191" t="s">
        <v>132</v>
      </c>
      <c r="AU479" s="191" t="s">
        <v>82</v>
      </c>
      <c r="AV479" s="189" t="s">
        <v>82</v>
      </c>
      <c r="AW479" s="189" t="s">
        <v>30</v>
      </c>
      <c r="AX479" s="189" t="s">
        <v>72</v>
      </c>
      <c r="AY479" s="191" t="s">
        <v>127</v>
      </c>
    </row>
    <row r="480" spans="2:65" s="198" customFormat="1" x14ac:dyDescent="0.2">
      <c r="B480" s="197"/>
      <c r="D480" s="190" t="s">
        <v>132</v>
      </c>
      <c r="E480" s="199" t="s">
        <v>1</v>
      </c>
      <c r="F480" s="200" t="s">
        <v>133</v>
      </c>
      <c r="H480" s="201">
        <f>SUM(H478:H479)</f>
        <v>3218.3999999999996</v>
      </c>
      <c r="I480" s="83"/>
      <c r="L480" s="202"/>
      <c r="M480" s="203"/>
      <c r="T480" s="204"/>
      <c r="AT480" s="199" t="s">
        <v>132</v>
      </c>
      <c r="AU480" s="199" t="s">
        <v>82</v>
      </c>
      <c r="AV480" s="198" t="s">
        <v>131</v>
      </c>
      <c r="AW480" s="198" t="s">
        <v>30</v>
      </c>
      <c r="AX480" s="198" t="s">
        <v>80</v>
      </c>
      <c r="AY480" s="199" t="s">
        <v>127</v>
      </c>
    </row>
    <row r="481" spans="2:65" s="99" customFormat="1" ht="16.5" customHeight="1" x14ac:dyDescent="0.2">
      <c r="B481" s="98"/>
      <c r="C481" s="176">
        <v>155</v>
      </c>
      <c r="D481" s="176" t="s">
        <v>129</v>
      </c>
      <c r="E481" s="177"/>
      <c r="F481" s="178" t="s">
        <v>884</v>
      </c>
      <c r="G481" s="179" t="s">
        <v>160</v>
      </c>
      <c r="H481" s="180">
        <f>H484</f>
        <v>3218.3999999999996</v>
      </c>
      <c r="I481" s="80"/>
      <c r="J481" s="181">
        <f>ROUND(I481*H481,2)</f>
        <v>0</v>
      </c>
      <c r="K481" s="182"/>
      <c r="L481" s="196"/>
      <c r="M481" s="183" t="s">
        <v>1</v>
      </c>
      <c r="N481" s="184" t="s">
        <v>38</v>
      </c>
      <c r="P481" s="185">
        <f>O481*H481</f>
        <v>0</v>
      </c>
      <c r="Q481" s="185">
        <v>0</v>
      </c>
      <c r="R481" s="185">
        <f>Q481*H481</f>
        <v>0</v>
      </c>
      <c r="S481" s="185">
        <v>0</v>
      </c>
      <c r="T481" s="186">
        <f>S481*H481</f>
        <v>0</v>
      </c>
      <c r="AR481" s="131" t="s">
        <v>131</v>
      </c>
      <c r="AT481" s="131" t="s">
        <v>129</v>
      </c>
      <c r="AU481" s="131" t="s">
        <v>82</v>
      </c>
      <c r="AY481" s="90" t="s">
        <v>127</v>
      </c>
      <c r="BE481" s="187">
        <f>IF(N481="základní",J481,0)</f>
        <v>0</v>
      </c>
      <c r="BF481" s="187">
        <f>IF(N481="snížená",J481,0)</f>
        <v>0</v>
      </c>
      <c r="BG481" s="187">
        <f>IF(N481="zákl. přenesená",J481,0)</f>
        <v>0</v>
      </c>
      <c r="BH481" s="187">
        <f>IF(N481="sníž. přenesená",J481,0)</f>
        <v>0</v>
      </c>
      <c r="BI481" s="187">
        <f>IF(N481="nulová",J481,0)</f>
        <v>0</v>
      </c>
      <c r="BJ481" s="90" t="s">
        <v>80</v>
      </c>
      <c r="BK481" s="187">
        <f>ROUND(I481*H481,2)</f>
        <v>0</v>
      </c>
      <c r="BL481" s="90" t="s">
        <v>131</v>
      </c>
      <c r="BM481" s="131" t="s">
        <v>591</v>
      </c>
    </row>
    <row r="482" spans="2:65" s="189" customFormat="1" x14ac:dyDescent="0.2">
      <c r="B482" s="188"/>
      <c r="D482" s="190" t="s">
        <v>132</v>
      </c>
      <c r="E482" s="191" t="s">
        <v>1</v>
      </c>
      <c r="F482" s="192" t="s">
        <v>882</v>
      </c>
      <c r="H482" s="193">
        <f>(513+2.4+2.5+2.5+3+82)*2</f>
        <v>1210.8</v>
      </c>
      <c r="I482" s="82"/>
      <c r="L482" s="158"/>
      <c r="M482" s="194"/>
      <c r="T482" s="195"/>
      <c r="AT482" s="191" t="s">
        <v>132</v>
      </c>
      <c r="AU482" s="191" t="s">
        <v>82</v>
      </c>
      <c r="AV482" s="189" t="s">
        <v>82</v>
      </c>
      <c r="AW482" s="189" t="s">
        <v>30</v>
      </c>
      <c r="AX482" s="189" t="s">
        <v>72</v>
      </c>
      <c r="AY482" s="191" t="s">
        <v>127</v>
      </c>
    </row>
    <row r="483" spans="2:65" s="189" customFormat="1" x14ac:dyDescent="0.2">
      <c r="B483" s="188"/>
      <c r="D483" s="190" t="s">
        <v>132</v>
      </c>
      <c r="E483" s="191" t="s">
        <v>1</v>
      </c>
      <c r="F483" s="192" t="s">
        <v>883</v>
      </c>
      <c r="H483" s="193">
        <f xml:space="preserve"> (244.4+10+94.9+38.5+616)*2</f>
        <v>2007.6</v>
      </c>
      <c r="I483" s="82"/>
      <c r="L483" s="158"/>
      <c r="M483" s="194"/>
      <c r="T483" s="195"/>
      <c r="AT483" s="191" t="s">
        <v>132</v>
      </c>
      <c r="AU483" s="191" t="s">
        <v>82</v>
      </c>
      <c r="AV483" s="189" t="s">
        <v>82</v>
      </c>
      <c r="AW483" s="189" t="s">
        <v>30</v>
      </c>
      <c r="AX483" s="189" t="s">
        <v>72</v>
      </c>
      <c r="AY483" s="191" t="s">
        <v>127</v>
      </c>
    </row>
    <row r="484" spans="2:65" s="198" customFormat="1" x14ac:dyDescent="0.2">
      <c r="B484" s="197"/>
      <c r="D484" s="190" t="s">
        <v>132</v>
      </c>
      <c r="E484" s="199" t="s">
        <v>1</v>
      </c>
      <c r="F484" s="200" t="s">
        <v>133</v>
      </c>
      <c r="H484" s="201">
        <f>SUM(H482:H483)</f>
        <v>3218.3999999999996</v>
      </c>
      <c r="I484" s="83"/>
      <c r="L484" s="202"/>
      <c r="M484" s="203"/>
      <c r="T484" s="204"/>
      <c r="AT484" s="199" t="s">
        <v>132</v>
      </c>
      <c r="AU484" s="199" t="s">
        <v>82</v>
      </c>
      <c r="AV484" s="198" t="s">
        <v>131</v>
      </c>
      <c r="AW484" s="198" t="s">
        <v>30</v>
      </c>
      <c r="AX484" s="198" t="s">
        <v>80</v>
      </c>
      <c r="AY484" s="199" t="s">
        <v>127</v>
      </c>
    </row>
    <row r="485" spans="2:65" s="99" customFormat="1" ht="24.2" customHeight="1" x14ac:dyDescent="0.2">
      <c r="B485" s="98"/>
      <c r="C485" s="176">
        <v>156</v>
      </c>
      <c r="D485" s="176" t="s">
        <v>129</v>
      </c>
      <c r="E485" s="177" t="s">
        <v>592</v>
      </c>
      <c r="F485" s="178" t="s">
        <v>593</v>
      </c>
      <c r="G485" s="179" t="s">
        <v>160</v>
      </c>
      <c r="H485" s="180">
        <v>1.5</v>
      </c>
      <c r="I485" s="80"/>
      <c r="J485" s="181">
        <f>ROUND(I485*H485,2)</f>
        <v>0</v>
      </c>
      <c r="K485" s="182"/>
      <c r="L485" s="196"/>
      <c r="M485" s="183" t="s">
        <v>1</v>
      </c>
      <c r="N485" s="184" t="s">
        <v>38</v>
      </c>
      <c r="P485" s="185">
        <f>O485*H485</f>
        <v>0</v>
      </c>
      <c r="Q485" s="185">
        <v>3.5999999999999999E-3</v>
      </c>
      <c r="R485" s="185">
        <f>Q485*H485</f>
        <v>5.4000000000000003E-3</v>
      </c>
      <c r="S485" s="185">
        <v>0.16</v>
      </c>
      <c r="T485" s="186">
        <f>S485*H485</f>
        <v>0.24</v>
      </c>
      <c r="AR485" s="131" t="s">
        <v>131</v>
      </c>
      <c r="AT485" s="131" t="s">
        <v>129</v>
      </c>
      <c r="AU485" s="131" t="s">
        <v>82</v>
      </c>
      <c r="AY485" s="90" t="s">
        <v>127</v>
      </c>
      <c r="BE485" s="187">
        <f>IF(N485="základní",J485,0)</f>
        <v>0</v>
      </c>
      <c r="BF485" s="187">
        <f>IF(N485="snížená",J485,0)</f>
        <v>0</v>
      </c>
      <c r="BG485" s="187">
        <f>IF(N485="zákl. přenesená",J485,0)</f>
        <v>0</v>
      </c>
      <c r="BH485" s="187">
        <f>IF(N485="sníž. přenesená",J485,0)</f>
        <v>0</v>
      </c>
      <c r="BI485" s="187">
        <f>IF(N485="nulová",J485,0)</f>
        <v>0</v>
      </c>
      <c r="BJ485" s="90" t="s">
        <v>80</v>
      </c>
      <c r="BK485" s="187">
        <f>ROUND(I485*H485,2)</f>
        <v>0</v>
      </c>
      <c r="BL485" s="90" t="s">
        <v>131</v>
      </c>
      <c r="BM485" s="131" t="s">
        <v>594</v>
      </c>
    </row>
    <row r="486" spans="2:65" s="207" customFormat="1" x14ac:dyDescent="0.2">
      <c r="B486" s="206"/>
      <c r="D486" s="190" t="s">
        <v>132</v>
      </c>
      <c r="E486" s="208" t="s">
        <v>1</v>
      </c>
      <c r="F486" s="209" t="s">
        <v>143</v>
      </c>
      <c r="H486" s="208" t="s">
        <v>1</v>
      </c>
      <c r="I486" s="84"/>
      <c r="L486" s="210"/>
      <c r="M486" s="211"/>
      <c r="T486" s="212"/>
      <c r="AT486" s="208" t="s">
        <v>132</v>
      </c>
      <c r="AU486" s="208" t="s">
        <v>82</v>
      </c>
      <c r="AV486" s="207" t="s">
        <v>80</v>
      </c>
      <c r="AW486" s="207" t="s">
        <v>30</v>
      </c>
      <c r="AX486" s="207" t="s">
        <v>72</v>
      </c>
      <c r="AY486" s="208" t="s">
        <v>127</v>
      </c>
    </row>
    <row r="487" spans="2:65" s="189" customFormat="1" x14ac:dyDescent="0.2">
      <c r="B487" s="188"/>
      <c r="D487" s="190" t="s">
        <v>132</v>
      </c>
      <c r="E487" s="191" t="s">
        <v>1</v>
      </c>
      <c r="F487" s="192" t="s">
        <v>907</v>
      </c>
      <c r="H487" s="193">
        <v>1.5</v>
      </c>
      <c r="I487" s="82"/>
      <c r="L487" s="158"/>
      <c r="M487" s="194"/>
      <c r="T487" s="195"/>
      <c r="AT487" s="191" t="s">
        <v>132</v>
      </c>
      <c r="AU487" s="191" t="s">
        <v>82</v>
      </c>
      <c r="AV487" s="189" t="s">
        <v>82</v>
      </c>
      <c r="AW487" s="189" t="s">
        <v>30</v>
      </c>
      <c r="AX487" s="189" t="s">
        <v>72</v>
      </c>
      <c r="AY487" s="191" t="s">
        <v>127</v>
      </c>
    </row>
    <row r="488" spans="2:65" s="99" customFormat="1" ht="16.5" customHeight="1" x14ac:dyDescent="0.2">
      <c r="B488" s="98"/>
      <c r="C488" s="176">
        <v>157</v>
      </c>
      <c r="D488" s="176" t="s">
        <v>129</v>
      </c>
      <c r="E488" s="177" t="s">
        <v>595</v>
      </c>
      <c r="F488" s="178" t="s">
        <v>596</v>
      </c>
      <c r="G488" s="179" t="s">
        <v>196</v>
      </c>
      <c r="H488" s="180">
        <v>3</v>
      </c>
      <c r="I488" s="80"/>
      <c r="J488" s="181">
        <f>ROUND(I488*H488,2)</f>
        <v>0</v>
      </c>
      <c r="K488" s="182"/>
      <c r="L488" s="196"/>
      <c r="M488" s="183" t="s">
        <v>1</v>
      </c>
      <c r="N488" s="184" t="s">
        <v>38</v>
      </c>
      <c r="P488" s="185">
        <f>O488*H488</f>
        <v>0</v>
      </c>
      <c r="Q488" s="185">
        <v>2E-3</v>
      </c>
      <c r="R488" s="185">
        <f>Q488*H488</f>
        <v>6.0000000000000001E-3</v>
      </c>
      <c r="S488" s="185">
        <v>0</v>
      </c>
      <c r="T488" s="186">
        <f>S488*H488</f>
        <v>0</v>
      </c>
      <c r="AR488" s="131" t="s">
        <v>131</v>
      </c>
      <c r="AT488" s="131" t="s">
        <v>129</v>
      </c>
      <c r="AU488" s="131" t="s">
        <v>82</v>
      </c>
      <c r="AY488" s="90" t="s">
        <v>127</v>
      </c>
      <c r="BE488" s="187">
        <f>IF(N488="základní",J488,0)</f>
        <v>0</v>
      </c>
      <c r="BF488" s="187">
        <f>IF(N488="snížená",J488,0)</f>
        <v>0</v>
      </c>
      <c r="BG488" s="187">
        <f>IF(N488="zákl. přenesená",J488,0)</f>
        <v>0</v>
      </c>
      <c r="BH488" s="187">
        <f>IF(N488="sníž. přenesená",J488,0)</f>
        <v>0</v>
      </c>
      <c r="BI488" s="187">
        <f>IF(N488="nulová",J488,0)</f>
        <v>0</v>
      </c>
      <c r="BJ488" s="90" t="s">
        <v>80</v>
      </c>
      <c r="BK488" s="187">
        <f>ROUND(I488*H488,2)</f>
        <v>0</v>
      </c>
      <c r="BL488" s="90" t="s">
        <v>131</v>
      </c>
      <c r="BM488" s="131" t="s">
        <v>597</v>
      </c>
    </row>
    <row r="489" spans="2:65" s="207" customFormat="1" x14ac:dyDescent="0.2">
      <c r="B489" s="206"/>
      <c r="D489" s="190" t="s">
        <v>132</v>
      </c>
      <c r="E489" s="208" t="s">
        <v>1</v>
      </c>
      <c r="F489" s="209" t="s">
        <v>143</v>
      </c>
      <c r="H489" s="208" t="s">
        <v>1</v>
      </c>
      <c r="I489" s="84"/>
      <c r="L489" s="210"/>
      <c r="M489" s="211"/>
      <c r="T489" s="212"/>
      <c r="AT489" s="208" t="s">
        <v>132</v>
      </c>
      <c r="AU489" s="208" t="s">
        <v>82</v>
      </c>
      <c r="AV489" s="207" t="s">
        <v>80</v>
      </c>
      <c r="AW489" s="207" t="s">
        <v>30</v>
      </c>
      <c r="AX489" s="207" t="s">
        <v>72</v>
      </c>
      <c r="AY489" s="208" t="s">
        <v>127</v>
      </c>
    </row>
    <row r="490" spans="2:65" s="189" customFormat="1" x14ac:dyDescent="0.2">
      <c r="B490" s="188"/>
      <c r="D490" s="190" t="s">
        <v>132</v>
      </c>
      <c r="E490" s="191" t="s">
        <v>1</v>
      </c>
      <c r="F490" s="192" t="s">
        <v>598</v>
      </c>
      <c r="H490" s="193">
        <v>3</v>
      </c>
      <c r="I490" s="82"/>
      <c r="L490" s="158"/>
      <c r="M490" s="194"/>
      <c r="T490" s="195"/>
      <c r="AT490" s="191" t="s">
        <v>132</v>
      </c>
      <c r="AU490" s="191" t="s">
        <v>82</v>
      </c>
      <c r="AV490" s="189" t="s">
        <v>82</v>
      </c>
      <c r="AW490" s="189" t="s">
        <v>30</v>
      </c>
      <c r="AX490" s="189" t="s">
        <v>72</v>
      </c>
      <c r="AY490" s="191" t="s">
        <v>127</v>
      </c>
    </row>
    <row r="491" spans="2:65" s="198" customFormat="1" x14ac:dyDescent="0.2">
      <c r="B491" s="197"/>
      <c r="D491" s="190" t="s">
        <v>132</v>
      </c>
      <c r="E491" s="199" t="s">
        <v>1</v>
      </c>
      <c r="F491" s="200" t="s">
        <v>133</v>
      </c>
      <c r="H491" s="201">
        <v>3</v>
      </c>
      <c r="I491" s="83"/>
      <c r="L491" s="202"/>
      <c r="M491" s="203"/>
      <c r="T491" s="204"/>
      <c r="AT491" s="199" t="s">
        <v>132</v>
      </c>
      <c r="AU491" s="199" t="s">
        <v>82</v>
      </c>
      <c r="AV491" s="198" t="s">
        <v>131</v>
      </c>
      <c r="AW491" s="198" t="s">
        <v>30</v>
      </c>
      <c r="AX491" s="198" t="s">
        <v>80</v>
      </c>
      <c r="AY491" s="199" t="s">
        <v>127</v>
      </c>
    </row>
    <row r="492" spans="2:65" s="99" customFormat="1" ht="24.75" customHeight="1" x14ac:dyDescent="0.2">
      <c r="B492" s="98"/>
      <c r="C492" s="176">
        <v>158</v>
      </c>
      <c r="D492" s="176" t="s">
        <v>129</v>
      </c>
      <c r="E492" s="177"/>
      <c r="F492" s="178" t="s">
        <v>885</v>
      </c>
      <c r="G492" s="179" t="s">
        <v>196</v>
      </c>
      <c r="H492" s="180">
        <v>2</v>
      </c>
      <c r="I492" s="80"/>
      <c r="J492" s="181">
        <f>ROUND(I492*H492,2)</f>
        <v>0</v>
      </c>
      <c r="K492" s="182"/>
      <c r="L492" s="196"/>
      <c r="M492" s="183" t="s">
        <v>1</v>
      </c>
      <c r="N492" s="184" t="s">
        <v>38</v>
      </c>
      <c r="P492" s="185">
        <f>O492*H492</f>
        <v>0</v>
      </c>
      <c r="Q492" s="185">
        <v>2E-3</v>
      </c>
      <c r="R492" s="185">
        <f>Q492*H492</f>
        <v>4.0000000000000001E-3</v>
      </c>
      <c r="S492" s="185">
        <v>0</v>
      </c>
      <c r="T492" s="186">
        <f>S492*H492</f>
        <v>0</v>
      </c>
      <c r="AR492" s="131" t="s">
        <v>131</v>
      </c>
      <c r="AT492" s="131" t="s">
        <v>129</v>
      </c>
      <c r="AU492" s="131" t="s">
        <v>82</v>
      </c>
      <c r="AY492" s="90" t="s">
        <v>127</v>
      </c>
      <c r="BE492" s="187">
        <f>IF(N492="základní",J492,0)</f>
        <v>0</v>
      </c>
      <c r="BF492" s="187">
        <f>IF(N492="snížená",J492,0)</f>
        <v>0</v>
      </c>
      <c r="BG492" s="187">
        <f>IF(N492="zákl. přenesená",J492,0)</f>
        <v>0</v>
      </c>
      <c r="BH492" s="187">
        <f>IF(N492="sníž. přenesená",J492,0)</f>
        <v>0</v>
      </c>
      <c r="BI492" s="187">
        <f>IF(N492="nulová",J492,0)</f>
        <v>0</v>
      </c>
      <c r="BJ492" s="90" t="s">
        <v>80</v>
      </c>
      <c r="BK492" s="187">
        <f>ROUND(I492*H492,2)</f>
        <v>0</v>
      </c>
      <c r="BL492" s="90" t="s">
        <v>131</v>
      </c>
      <c r="BM492" s="131" t="s">
        <v>597</v>
      </c>
    </row>
    <row r="493" spans="2:65" s="189" customFormat="1" x14ac:dyDescent="0.2">
      <c r="B493" s="188"/>
      <c r="D493" s="190" t="s">
        <v>132</v>
      </c>
      <c r="E493" s="191" t="s">
        <v>1</v>
      </c>
      <c r="F493" s="192" t="s">
        <v>902</v>
      </c>
      <c r="H493" s="193">
        <v>3</v>
      </c>
      <c r="I493" s="82"/>
      <c r="L493" s="158"/>
      <c r="M493" s="194"/>
      <c r="T493" s="195"/>
      <c r="AT493" s="191" t="s">
        <v>132</v>
      </c>
      <c r="AU493" s="191" t="s">
        <v>82</v>
      </c>
      <c r="AV493" s="189" t="s">
        <v>82</v>
      </c>
      <c r="AW493" s="189" t="s">
        <v>30</v>
      </c>
      <c r="AX493" s="189" t="s">
        <v>72</v>
      </c>
      <c r="AY493" s="191" t="s">
        <v>127</v>
      </c>
    </row>
    <row r="494" spans="2:65" s="99" customFormat="1" ht="212.25" customHeight="1" x14ac:dyDescent="0.2">
      <c r="B494" s="98"/>
      <c r="C494" s="176">
        <v>159</v>
      </c>
      <c r="D494" s="176" t="s">
        <v>129</v>
      </c>
      <c r="E494" s="177"/>
      <c r="F494" s="178" t="s">
        <v>905</v>
      </c>
      <c r="G494" s="179" t="s">
        <v>196</v>
      </c>
      <c r="H494" s="180">
        <v>1</v>
      </c>
      <c r="I494" s="80"/>
      <c r="J494" s="181">
        <f>ROUND(I494*H494,2)</f>
        <v>0</v>
      </c>
      <c r="K494" s="182"/>
      <c r="L494" s="196"/>
      <c r="M494" s="183" t="s">
        <v>1</v>
      </c>
      <c r="N494" s="184" t="s">
        <v>38</v>
      </c>
      <c r="P494" s="185">
        <f>O494*H494</f>
        <v>0</v>
      </c>
      <c r="Q494" s="185">
        <v>0.05</v>
      </c>
      <c r="R494" s="185">
        <f>Q494*H494</f>
        <v>0.05</v>
      </c>
      <c r="S494" s="185">
        <v>0</v>
      </c>
      <c r="T494" s="186">
        <f>S494*H494</f>
        <v>0</v>
      </c>
      <c r="AR494" s="131" t="s">
        <v>131</v>
      </c>
      <c r="AT494" s="131" t="s">
        <v>129</v>
      </c>
      <c r="AU494" s="131" t="s">
        <v>82</v>
      </c>
      <c r="AY494" s="90" t="s">
        <v>127</v>
      </c>
      <c r="BE494" s="187">
        <f>IF(N494="základní",J494,0)</f>
        <v>0</v>
      </c>
      <c r="BF494" s="187">
        <f>IF(N494="snížená",J494,0)</f>
        <v>0</v>
      </c>
      <c r="BG494" s="187">
        <f>IF(N494="zákl. přenesená",J494,0)</f>
        <v>0</v>
      </c>
      <c r="BH494" s="187">
        <f>IF(N494="sníž. přenesená",J494,0)</f>
        <v>0</v>
      </c>
      <c r="BI494" s="187">
        <f>IF(N494="nulová",J494,0)</f>
        <v>0</v>
      </c>
      <c r="BJ494" s="90" t="s">
        <v>80</v>
      </c>
      <c r="BK494" s="187">
        <f>ROUND(I494*H494,2)</f>
        <v>0</v>
      </c>
      <c r="BL494" s="90" t="s">
        <v>131</v>
      </c>
      <c r="BM494" s="131" t="s">
        <v>597</v>
      </c>
    </row>
    <row r="495" spans="2:65" s="99" customFormat="1" ht="187.5" customHeight="1" x14ac:dyDescent="0.2">
      <c r="B495" s="98"/>
      <c r="C495" s="176">
        <v>160</v>
      </c>
      <c r="D495" s="176" t="s">
        <v>129</v>
      </c>
      <c r="E495" s="177"/>
      <c r="F495" s="178" t="s">
        <v>906</v>
      </c>
      <c r="G495" s="179" t="s">
        <v>196</v>
      </c>
      <c r="H495" s="180">
        <v>1</v>
      </c>
      <c r="I495" s="80"/>
      <c r="J495" s="181">
        <f>ROUND(I495*H495,2)</f>
        <v>0</v>
      </c>
      <c r="K495" s="182"/>
      <c r="L495" s="196"/>
      <c r="M495" s="183" t="s">
        <v>1</v>
      </c>
      <c r="N495" s="184" t="s">
        <v>38</v>
      </c>
      <c r="P495" s="185">
        <f>O495*H495</f>
        <v>0</v>
      </c>
      <c r="Q495" s="185">
        <v>0.05</v>
      </c>
      <c r="R495" s="185">
        <f>Q495*H495</f>
        <v>0.05</v>
      </c>
      <c r="S495" s="185">
        <v>0</v>
      </c>
      <c r="T495" s="186">
        <f>S495*H495</f>
        <v>0</v>
      </c>
      <c r="AR495" s="131" t="s">
        <v>131</v>
      </c>
      <c r="AT495" s="131" t="s">
        <v>129</v>
      </c>
      <c r="AU495" s="131" t="s">
        <v>82</v>
      </c>
      <c r="AY495" s="90" t="s">
        <v>127</v>
      </c>
      <c r="BE495" s="187">
        <f>IF(N495="základní",J495,0)</f>
        <v>0</v>
      </c>
      <c r="BF495" s="187">
        <f>IF(N495="snížená",J495,0)</f>
        <v>0</v>
      </c>
      <c r="BG495" s="187">
        <f>IF(N495="zákl. přenesená",J495,0)</f>
        <v>0</v>
      </c>
      <c r="BH495" s="187">
        <f>IF(N495="sníž. přenesená",J495,0)</f>
        <v>0</v>
      </c>
      <c r="BI495" s="187">
        <f>IF(N495="nulová",J495,0)</f>
        <v>0</v>
      </c>
      <c r="BJ495" s="90" t="s">
        <v>80</v>
      </c>
      <c r="BK495" s="187">
        <f>ROUND(I495*H495,2)</f>
        <v>0</v>
      </c>
      <c r="BL495" s="90" t="s">
        <v>131</v>
      </c>
      <c r="BM495" s="131" t="s">
        <v>597</v>
      </c>
    </row>
    <row r="496" spans="2:65" s="164" customFormat="1" ht="22.9" customHeight="1" x14ac:dyDescent="0.2">
      <c r="B496" s="163"/>
      <c r="D496" s="165" t="s">
        <v>71</v>
      </c>
      <c r="E496" s="174" t="s">
        <v>599</v>
      </c>
      <c r="F496" s="174" t="s">
        <v>600</v>
      </c>
      <c r="I496" s="79"/>
      <c r="J496" s="175">
        <f>SUM(J497:J506)</f>
        <v>0</v>
      </c>
      <c r="L496" s="196"/>
      <c r="M496" s="169"/>
      <c r="P496" s="170">
        <f>SUM(P497:P510)</f>
        <v>0</v>
      </c>
      <c r="R496" s="170">
        <f>SUM(R497:R510)</f>
        <v>0</v>
      </c>
      <c r="T496" s="171">
        <f>SUM(T497:T510)</f>
        <v>0</v>
      </c>
      <c r="AR496" s="165" t="s">
        <v>80</v>
      </c>
      <c r="AT496" s="172" t="s">
        <v>71</v>
      </c>
      <c r="AU496" s="172" t="s">
        <v>80</v>
      </c>
      <c r="AY496" s="165" t="s">
        <v>127</v>
      </c>
      <c r="BK496" s="173">
        <f>SUM(BK497:BK510)</f>
        <v>0</v>
      </c>
    </row>
    <row r="497" spans="2:65" s="99" customFormat="1" ht="43.5" customHeight="1" x14ac:dyDescent="0.2">
      <c r="B497" s="98"/>
      <c r="C497" s="176">
        <v>161</v>
      </c>
      <c r="D497" s="176" t="s">
        <v>129</v>
      </c>
      <c r="E497" s="177"/>
      <c r="F497" s="178" t="s">
        <v>966</v>
      </c>
      <c r="G497" s="179" t="s">
        <v>233</v>
      </c>
      <c r="H497" s="180">
        <f>H501</f>
        <v>7.8479999999999999</v>
      </c>
      <c r="I497" s="80"/>
      <c r="J497" s="181">
        <f>ROUND(I497*H497,2)</f>
        <v>0</v>
      </c>
      <c r="K497" s="182"/>
      <c r="L497" s="196"/>
      <c r="M497" s="183" t="s">
        <v>1</v>
      </c>
      <c r="N497" s="184" t="s">
        <v>38</v>
      </c>
      <c r="P497" s="185">
        <f>O497*H497</f>
        <v>0</v>
      </c>
      <c r="Q497" s="185">
        <v>0</v>
      </c>
      <c r="R497" s="185">
        <f>Q497*H497</f>
        <v>0</v>
      </c>
      <c r="S497" s="185">
        <v>0</v>
      </c>
      <c r="T497" s="186">
        <f>S497*H497</f>
        <v>0</v>
      </c>
      <c r="AR497" s="131" t="s">
        <v>131</v>
      </c>
      <c r="AT497" s="131" t="s">
        <v>129</v>
      </c>
      <c r="AU497" s="131" t="s">
        <v>82</v>
      </c>
      <c r="AY497" s="90" t="s">
        <v>127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90" t="s">
        <v>80</v>
      </c>
      <c r="BK497" s="187">
        <f>ROUND(I497*H497,2)</f>
        <v>0</v>
      </c>
      <c r="BL497" s="90" t="s">
        <v>131</v>
      </c>
      <c r="BM497" s="131" t="s">
        <v>601</v>
      </c>
    </row>
    <row r="498" spans="2:65" s="189" customFormat="1" x14ac:dyDescent="0.2">
      <c r="B498" s="188"/>
      <c r="D498" s="190" t="s">
        <v>132</v>
      </c>
      <c r="E498" s="191" t="s">
        <v>1</v>
      </c>
      <c r="F498" s="192" t="s">
        <v>964</v>
      </c>
      <c r="H498" s="193">
        <v>7.6</v>
      </c>
      <c r="I498" s="82"/>
      <c r="L498" s="158"/>
      <c r="M498" s="194"/>
      <c r="T498" s="195"/>
      <c r="AT498" s="191" t="s">
        <v>132</v>
      </c>
      <c r="AU498" s="191" t="s">
        <v>82</v>
      </c>
      <c r="AV498" s="189" t="s">
        <v>82</v>
      </c>
      <c r="AW498" s="189" t="s">
        <v>30</v>
      </c>
      <c r="AX498" s="189" t="s">
        <v>72</v>
      </c>
      <c r="AY498" s="191" t="s">
        <v>127</v>
      </c>
    </row>
    <row r="499" spans="2:65" s="189" customFormat="1" x14ac:dyDescent="0.2">
      <c r="B499" s="188"/>
      <c r="D499" s="190" t="s">
        <v>132</v>
      </c>
      <c r="E499" s="191" t="s">
        <v>1</v>
      </c>
      <c r="F499" s="192" t="s">
        <v>965</v>
      </c>
      <c r="H499" s="193">
        <v>0.2</v>
      </c>
      <c r="I499" s="82"/>
      <c r="L499" s="158"/>
      <c r="M499" s="194"/>
      <c r="T499" s="195"/>
      <c r="AT499" s="191" t="s">
        <v>132</v>
      </c>
      <c r="AU499" s="191" t="s">
        <v>82</v>
      </c>
      <c r="AV499" s="189" t="s">
        <v>82</v>
      </c>
      <c r="AW499" s="189" t="s">
        <v>30</v>
      </c>
      <c r="AX499" s="189" t="s">
        <v>72</v>
      </c>
      <c r="AY499" s="191" t="s">
        <v>127</v>
      </c>
    </row>
    <row r="500" spans="2:65" s="189" customFormat="1" x14ac:dyDescent="0.2">
      <c r="B500" s="188"/>
      <c r="D500" s="190" t="s">
        <v>132</v>
      </c>
      <c r="E500" s="191" t="s">
        <v>1</v>
      </c>
      <c r="F500" s="192" t="s">
        <v>602</v>
      </c>
      <c r="H500" s="193">
        <v>4.8000000000000001E-2</v>
      </c>
      <c r="I500" s="82"/>
      <c r="L500" s="158"/>
      <c r="M500" s="194"/>
      <c r="T500" s="195"/>
      <c r="AT500" s="191" t="s">
        <v>132</v>
      </c>
      <c r="AU500" s="191" t="s">
        <v>82</v>
      </c>
      <c r="AV500" s="189" t="s">
        <v>82</v>
      </c>
      <c r="AW500" s="189" t="s">
        <v>30</v>
      </c>
      <c r="AX500" s="189" t="s">
        <v>72</v>
      </c>
      <c r="AY500" s="191" t="s">
        <v>127</v>
      </c>
    </row>
    <row r="501" spans="2:65" s="198" customFormat="1" x14ac:dyDescent="0.2">
      <c r="B501" s="197"/>
      <c r="D501" s="190" t="s">
        <v>132</v>
      </c>
      <c r="E501" s="199" t="s">
        <v>1</v>
      </c>
      <c r="F501" s="200" t="s">
        <v>133</v>
      </c>
      <c r="H501" s="201">
        <f>SUM(H498:H500)</f>
        <v>7.8479999999999999</v>
      </c>
      <c r="I501" s="83"/>
      <c r="L501" s="202"/>
      <c r="M501" s="203"/>
      <c r="T501" s="204"/>
      <c r="AT501" s="199" t="s">
        <v>132</v>
      </c>
      <c r="AU501" s="199" t="s">
        <v>82</v>
      </c>
      <c r="AV501" s="198" t="s">
        <v>131</v>
      </c>
      <c r="AW501" s="198" t="s">
        <v>30</v>
      </c>
      <c r="AX501" s="198" t="s">
        <v>80</v>
      </c>
      <c r="AY501" s="199" t="s">
        <v>127</v>
      </c>
    </row>
    <row r="502" spans="2:65" s="99" customFormat="1" ht="39" customHeight="1" x14ac:dyDescent="0.2">
      <c r="B502" s="98"/>
      <c r="C502" s="176">
        <v>162</v>
      </c>
      <c r="D502" s="176" t="s">
        <v>129</v>
      </c>
      <c r="E502" s="177"/>
      <c r="F502" s="178" t="s">
        <v>967</v>
      </c>
      <c r="G502" s="179" t="s">
        <v>233</v>
      </c>
      <c r="H502" s="180">
        <f>H503</f>
        <v>594.28320000000008</v>
      </c>
      <c r="I502" s="80"/>
      <c r="J502" s="181">
        <f>ROUND(I502*H502,2)</f>
        <v>0</v>
      </c>
      <c r="K502" s="182"/>
      <c r="L502" s="196"/>
      <c r="M502" s="183" t="s">
        <v>1</v>
      </c>
      <c r="N502" s="184" t="s">
        <v>38</v>
      </c>
      <c r="P502" s="185">
        <f>O502*H502</f>
        <v>0</v>
      </c>
      <c r="Q502" s="185">
        <v>0</v>
      </c>
      <c r="R502" s="185">
        <f>Q502*H502</f>
        <v>0</v>
      </c>
      <c r="S502" s="185">
        <v>0</v>
      </c>
      <c r="T502" s="186">
        <f>S502*H502</f>
        <v>0</v>
      </c>
      <c r="AR502" s="131" t="s">
        <v>131</v>
      </c>
      <c r="AT502" s="131" t="s">
        <v>129</v>
      </c>
      <c r="AU502" s="131" t="s">
        <v>82</v>
      </c>
      <c r="AY502" s="90" t="s">
        <v>127</v>
      </c>
      <c r="BE502" s="187">
        <f>IF(N502="základní",J502,0)</f>
        <v>0</v>
      </c>
      <c r="BF502" s="187">
        <f>IF(N502="snížená",J502,0)</f>
        <v>0</v>
      </c>
      <c r="BG502" s="187">
        <f>IF(N502="zákl. přenesená",J502,0)</f>
        <v>0</v>
      </c>
      <c r="BH502" s="187">
        <f>IF(N502="sníž. přenesená",J502,0)</f>
        <v>0</v>
      </c>
      <c r="BI502" s="187">
        <f>IF(N502="nulová",J502,0)</f>
        <v>0</v>
      </c>
      <c r="BJ502" s="90" t="s">
        <v>80</v>
      </c>
      <c r="BK502" s="187">
        <f>ROUND(I502*H502,2)</f>
        <v>0</v>
      </c>
      <c r="BL502" s="90" t="s">
        <v>131</v>
      </c>
      <c r="BM502" s="131" t="s">
        <v>603</v>
      </c>
    </row>
    <row r="503" spans="2:65" s="189" customFormat="1" x14ac:dyDescent="0.2">
      <c r="B503" s="188"/>
      <c r="D503" s="190" t="s">
        <v>132</v>
      </c>
      <c r="E503" s="191" t="s">
        <v>1</v>
      </c>
      <c r="F503" s="192" t="s">
        <v>1045</v>
      </c>
      <c r="H503" s="193">
        <f>(1606*0.04+2456.76*0.05+605.4*0.1)*2.4</f>
        <v>594.28320000000008</v>
      </c>
      <c r="I503" s="82"/>
      <c r="L503" s="158"/>
      <c r="M503" s="194"/>
      <c r="T503" s="195"/>
      <c r="AT503" s="191" t="s">
        <v>132</v>
      </c>
      <c r="AU503" s="191" t="s">
        <v>82</v>
      </c>
      <c r="AV503" s="189" t="s">
        <v>82</v>
      </c>
      <c r="AW503" s="189" t="s">
        <v>30</v>
      </c>
      <c r="AX503" s="189" t="s">
        <v>72</v>
      </c>
      <c r="AY503" s="191" t="s">
        <v>127</v>
      </c>
    </row>
    <row r="504" spans="2:65" s="99" customFormat="1" ht="44.25" customHeight="1" x14ac:dyDescent="0.2">
      <c r="B504" s="98"/>
      <c r="C504" s="176">
        <v>163</v>
      </c>
      <c r="D504" s="176" t="s">
        <v>129</v>
      </c>
      <c r="E504" s="177"/>
      <c r="F504" s="178" t="s">
        <v>605</v>
      </c>
      <c r="G504" s="179" t="s">
        <v>233</v>
      </c>
      <c r="H504" s="180">
        <f>H505</f>
        <v>594.28320000000008</v>
      </c>
      <c r="I504" s="80"/>
      <c r="J504" s="181">
        <f>ROUND(I504*H504,2)</f>
        <v>0</v>
      </c>
      <c r="K504" s="178" t="s">
        <v>1009</v>
      </c>
      <c r="L504" s="100"/>
      <c r="M504" s="223" t="s">
        <v>1</v>
      </c>
      <c r="N504" s="184" t="s">
        <v>38</v>
      </c>
      <c r="O504" s="185">
        <v>0</v>
      </c>
      <c r="P504" s="185">
        <f>O504*H504</f>
        <v>0</v>
      </c>
      <c r="Q504" s="185">
        <v>0</v>
      </c>
      <c r="R504" s="185">
        <f>Q504*H504</f>
        <v>0</v>
      </c>
      <c r="S504" s="185">
        <v>0</v>
      </c>
      <c r="T504" s="186">
        <f>S504*H504</f>
        <v>0</v>
      </c>
      <c r="AR504" s="131" t="s">
        <v>131</v>
      </c>
      <c r="AT504" s="131" t="s">
        <v>129</v>
      </c>
      <c r="AU504" s="131" t="s">
        <v>82</v>
      </c>
      <c r="AY504" s="90" t="s">
        <v>127</v>
      </c>
      <c r="BE504" s="187">
        <f>IF(N504="základní",J504,0)</f>
        <v>0</v>
      </c>
      <c r="BF504" s="187">
        <f>IF(N504="snížená",J504,0)</f>
        <v>0</v>
      </c>
      <c r="BG504" s="187">
        <f>IF(N504="zákl. přenesená",J504,0)</f>
        <v>0</v>
      </c>
      <c r="BH504" s="187">
        <f>IF(N504="sníž. přenesená",J504,0)</f>
        <v>0</v>
      </c>
      <c r="BI504" s="187">
        <f>IF(N504="nulová",J504,0)</f>
        <v>0</v>
      </c>
      <c r="BJ504" s="90" t="s">
        <v>80</v>
      </c>
      <c r="BK504" s="187">
        <f>ROUND(I504*H504,2)</f>
        <v>0</v>
      </c>
      <c r="BL504" s="90" t="s">
        <v>131</v>
      </c>
      <c r="BM504" s="131" t="s">
        <v>606</v>
      </c>
    </row>
    <row r="505" spans="2:65" s="189" customFormat="1" x14ac:dyDescent="0.2">
      <c r="B505" s="188"/>
      <c r="D505" s="190" t="s">
        <v>132</v>
      </c>
      <c r="E505" s="191" t="s">
        <v>1</v>
      </c>
      <c r="F505" s="192" t="s">
        <v>1045</v>
      </c>
      <c r="H505" s="193">
        <f>(1606*0.04+2456.76*0.05+605.4*0.1)*2.4</f>
        <v>594.28320000000008</v>
      </c>
      <c r="I505" s="82"/>
      <c r="L505" s="248"/>
      <c r="M505" s="194"/>
      <c r="T505" s="195"/>
      <c r="AT505" s="191" t="s">
        <v>132</v>
      </c>
      <c r="AU505" s="191" t="s">
        <v>82</v>
      </c>
      <c r="AV505" s="189" t="s">
        <v>82</v>
      </c>
      <c r="AW505" s="189" t="s">
        <v>30</v>
      </c>
      <c r="AX505" s="189" t="s">
        <v>72</v>
      </c>
      <c r="AY505" s="191" t="s">
        <v>127</v>
      </c>
    </row>
    <row r="506" spans="2:65" s="99" customFormat="1" ht="44.25" customHeight="1" x14ac:dyDescent="0.2">
      <c r="B506" s="98"/>
      <c r="C506" s="176">
        <v>164</v>
      </c>
      <c r="D506" s="176" t="s">
        <v>129</v>
      </c>
      <c r="E506" s="177" t="s">
        <v>604</v>
      </c>
      <c r="F506" s="178" t="s">
        <v>968</v>
      </c>
      <c r="G506" s="179" t="s">
        <v>233</v>
      </c>
      <c r="H506" s="180">
        <f>H510</f>
        <v>7.8479999999999999</v>
      </c>
      <c r="I506" s="80"/>
      <c r="J506" s="181">
        <f>ROUND(I506*H506,2)</f>
        <v>0</v>
      </c>
      <c r="K506" s="182"/>
      <c r="L506" s="196"/>
      <c r="M506" s="183" t="s">
        <v>1</v>
      </c>
      <c r="N506" s="184" t="s">
        <v>38</v>
      </c>
      <c r="P506" s="185">
        <f>O506*H506</f>
        <v>0</v>
      </c>
      <c r="Q506" s="185">
        <v>0</v>
      </c>
      <c r="R506" s="185">
        <f>Q506*H506</f>
        <v>0</v>
      </c>
      <c r="S506" s="185">
        <v>0</v>
      </c>
      <c r="T506" s="186">
        <f>S506*H506</f>
        <v>0</v>
      </c>
      <c r="AR506" s="131" t="s">
        <v>131</v>
      </c>
      <c r="AT506" s="131" t="s">
        <v>129</v>
      </c>
      <c r="AU506" s="131" t="s">
        <v>82</v>
      </c>
      <c r="AY506" s="90" t="s">
        <v>127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90" t="s">
        <v>80</v>
      </c>
      <c r="BK506" s="187">
        <f>ROUND(I506*H506,2)</f>
        <v>0</v>
      </c>
      <c r="BL506" s="90" t="s">
        <v>131</v>
      </c>
      <c r="BM506" s="131" t="s">
        <v>606</v>
      </c>
    </row>
    <row r="507" spans="2:65" s="189" customFormat="1" x14ac:dyDescent="0.2">
      <c r="B507" s="188"/>
      <c r="D507" s="190" t="s">
        <v>132</v>
      </c>
      <c r="E507" s="191" t="s">
        <v>1</v>
      </c>
      <c r="F507" s="192" t="s">
        <v>964</v>
      </c>
      <c r="H507" s="193">
        <v>7.6</v>
      </c>
      <c r="I507" s="82"/>
      <c r="L507" s="158"/>
      <c r="M507" s="194"/>
      <c r="T507" s="195"/>
      <c r="AT507" s="191" t="s">
        <v>132</v>
      </c>
      <c r="AU507" s="191" t="s">
        <v>82</v>
      </c>
      <c r="AV507" s="189" t="s">
        <v>82</v>
      </c>
      <c r="AW507" s="189" t="s">
        <v>30</v>
      </c>
      <c r="AX507" s="189" t="s">
        <v>72</v>
      </c>
      <c r="AY507" s="191" t="s">
        <v>127</v>
      </c>
    </row>
    <row r="508" spans="2:65" s="189" customFormat="1" x14ac:dyDescent="0.2">
      <c r="B508" s="188"/>
      <c r="D508" s="190" t="s">
        <v>132</v>
      </c>
      <c r="E508" s="191" t="s">
        <v>1</v>
      </c>
      <c r="F508" s="192" t="s">
        <v>965</v>
      </c>
      <c r="H508" s="193">
        <v>0.2</v>
      </c>
      <c r="I508" s="82"/>
      <c r="L508" s="158"/>
      <c r="M508" s="194"/>
      <c r="T508" s="195"/>
      <c r="AT508" s="191" t="s">
        <v>132</v>
      </c>
      <c r="AU508" s="191" t="s">
        <v>82</v>
      </c>
      <c r="AV508" s="189" t="s">
        <v>82</v>
      </c>
      <c r="AW508" s="189" t="s">
        <v>30</v>
      </c>
      <c r="AX508" s="189" t="s">
        <v>72</v>
      </c>
      <c r="AY508" s="191" t="s">
        <v>127</v>
      </c>
    </row>
    <row r="509" spans="2:65" s="189" customFormat="1" x14ac:dyDescent="0.2">
      <c r="B509" s="188"/>
      <c r="D509" s="190" t="s">
        <v>132</v>
      </c>
      <c r="E509" s="191" t="s">
        <v>1</v>
      </c>
      <c r="F509" s="192" t="s">
        <v>602</v>
      </c>
      <c r="H509" s="193">
        <v>4.8000000000000001E-2</v>
      </c>
      <c r="I509" s="82"/>
      <c r="L509" s="158"/>
      <c r="M509" s="194"/>
      <c r="T509" s="195"/>
      <c r="AT509" s="191" t="s">
        <v>132</v>
      </c>
      <c r="AU509" s="191" t="s">
        <v>82</v>
      </c>
      <c r="AV509" s="189" t="s">
        <v>82</v>
      </c>
      <c r="AW509" s="189" t="s">
        <v>30</v>
      </c>
      <c r="AX509" s="189" t="s">
        <v>72</v>
      </c>
      <c r="AY509" s="191" t="s">
        <v>127</v>
      </c>
    </row>
    <row r="510" spans="2:65" s="198" customFormat="1" x14ac:dyDescent="0.2">
      <c r="B510" s="197"/>
      <c r="D510" s="190" t="s">
        <v>132</v>
      </c>
      <c r="E510" s="199" t="s">
        <v>1</v>
      </c>
      <c r="F510" s="200" t="s">
        <v>133</v>
      </c>
      <c r="H510" s="201">
        <f>SUM(H507:H509)</f>
        <v>7.8479999999999999</v>
      </c>
      <c r="I510" s="83"/>
      <c r="L510" s="202"/>
      <c r="M510" s="203"/>
      <c r="T510" s="204"/>
      <c r="AT510" s="199" t="s">
        <v>132</v>
      </c>
      <c r="AU510" s="199" t="s">
        <v>82</v>
      </c>
      <c r="AV510" s="198" t="s">
        <v>131</v>
      </c>
      <c r="AW510" s="198" t="s">
        <v>30</v>
      </c>
      <c r="AX510" s="198" t="s">
        <v>80</v>
      </c>
      <c r="AY510" s="199" t="s">
        <v>127</v>
      </c>
    </row>
    <row r="511" spans="2:65" s="164" customFormat="1" ht="22.9" customHeight="1" x14ac:dyDescent="0.2">
      <c r="B511" s="163"/>
      <c r="D511" s="165" t="s">
        <v>71</v>
      </c>
      <c r="E511" s="174" t="s">
        <v>607</v>
      </c>
      <c r="F511" s="174" t="s">
        <v>608</v>
      </c>
      <c r="I511" s="79"/>
      <c r="J511" s="175">
        <f>J512</f>
        <v>0</v>
      </c>
      <c r="L511" s="168"/>
      <c r="M511" s="169"/>
      <c r="P511" s="170">
        <f>SUM(P512:P512)</f>
        <v>0</v>
      </c>
      <c r="R511" s="170"/>
      <c r="T511" s="171">
        <f>SUM(T512:T512)</f>
        <v>0</v>
      </c>
      <c r="AR511" s="165" t="s">
        <v>80</v>
      </c>
      <c r="AT511" s="172" t="s">
        <v>71</v>
      </c>
      <c r="AU511" s="172" t="s">
        <v>80</v>
      </c>
      <c r="AY511" s="165" t="s">
        <v>127</v>
      </c>
      <c r="BK511" s="173">
        <f>SUM(BK512:BK512)</f>
        <v>0</v>
      </c>
    </row>
    <row r="512" spans="2:65" s="99" customFormat="1" ht="24.2" customHeight="1" x14ac:dyDescent="0.2">
      <c r="B512" s="98"/>
      <c r="C512" s="176">
        <v>165</v>
      </c>
      <c r="D512" s="176" t="s">
        <v>129</v>
      </c>
      <c r="E512" s="177" t="s">
        <v>609</v>
      </c>
      <c r="F512" s="178" t="s">
        <v>610</v>
      </c>
      <c r="G512" s="179" t="s">
        <v>233</v>
      </c>
      <c r="H512" s="180">
        <f>R124</f>
        <v>53.960904419999977</v>
      </c>
      <c r="I512" s="80"/>
      <c r="J512" s="181">
        <f>ROUND(I512*H512,2)</f>
        <v>0</v>
      </c>
      <c r="K512" s="182"/>
      <c r="L512" s="196"/>
      <c r="M512" s="183" t="s">
        <v>1</v>
      </c>
      <c r="N512" s="184" t="s">
        <v>38</v>
      </c>
      <c r="P512" s="185">
        <f>O512*H512</f>
        <v>0</v>
      </c>
      <c r="Q512" s="185">
        <v>0</v>
      </c>
      <c r="R512" s="185"/>
      <c r="S512" s="185">
        <v>0</v>
      </c>
      <c r="T512" s="186">
        <f>S512*H512</f>
        <v>0</v>
      </c>
      <c r="AR512" s="131" t="s">
        <v>131</v>
      </c>
      <c r="AT512" s="131" t="s">
        <v>129</v>
      </c>
      <c r="AU512" s="131" t="s">
        <v>82</v>
      </c>
      <c r="AY512" s="90" t="s">
        <v>127</v>
      </c>
      <c r="BE512" s="187">
        <f>IF(N512="základní",J512,0)</f>
        <v>0</v>
      </c>
      <c r="BF512" s="187">
        <f>IF(N512="snížená",J512,0)</f>
        <v>0</v>
      </c>
      <c r="BG512" s="187">
        <f>IF(N512="zákl. přenesená",J512,0)</f>
        <v>0</v>
      </c>
      <c r="BH512" s="187">
        <f>IF(N512="sníž. přenesená",J512,0)</f>
        <v>0</v>
      </c>
      <c r="BI512" s="187">
        <f>IF(N512="nulová",J512,0)</f>
        <v>0</v>
      </c>
      <c r="BJ512" s="90" t="s">
        <v>80</v>
      </c>
      <c r="BK512" s="187">
        <f>ROUND(I512*H512,2)</f>
        <v>0</v>
      </c>
      <c r="BL512" s="90" t="s">
        <v>131</v>
      </c>
      <c r="BM512" s="131" t="s">
        <v>611</v>
      </c>
    </row>
    <row r="513" spans="2:12" s="99" customFormat="1" ht="6.95" customHeight="1" x14ac:dyDescent="0.2">
      <c r="B513" s="126"/>
      <c r="C513" s="127"/>
      <c r="D513" s="127"/>
      <c r="E513" s="127"/>
      <c r="F513" s="127"/>
      <c r="G513" s="127"/>
      <c r="H513" s="127"/>
      <c r="I513" s="127"/>
      <c r="J513" s="127"/>
      <c r="K513" s="127"/>
      <c r="L513" s="196"/>
    </row>
    <row r="514" spans="2:12" x14ac:dyDescent="0.2">
      <c r="L514" s="249"/>
    </row>
  </sheetData>
  <sheetProtection password="C9A1" sheet="1" objects="1" scenarios="1"/>
  <autoFilter ref="C123:K512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M305"/>
  <sheetViews>
    <sheetView showGridLines="0" topLeftCell="A86" workbookViewId="0">
      <selection activeCell="B86" sqref="B86:J305"/>
    </sheetView>
  </sheetViews>
  <sheetFormatPr defaultRowHeight="11.25" x14ac:dyDescent="0.2"/>
  <cols>
    <col min="1" max="1" width="8.33203125" style="88" customWidth="1"/>
    <col min="2" max="2" width="1.1640625" style="88" customWidth="1"/>
    <col min="3" max="3" width="6.33203125" style="88" customWidth="1"/>
    <col min="4" max="4" width="4.33203125" style="88" customWidth="1"/>
    <col min="5" max="5" width="17.1640625" style="88" customWidth="1"/>
    <col min="6" max="6" width="50.83203125" style="88" customWidth="1"/>
    <col min="7" max="7" width="7.5" style="88" customWidth="1"/>
    <col min="8" max="8" width="14" style="88" customWidth="1"/>
    <col min="9" max="9" width="15.83203125" style="88" customWidth="1"/>
    <col min="10" max="10" width="22.33203125" style="88" customWidth="1"/>
    <col min="11" max="11" width="22.33203125" style="88" hidden="1" customWidth="1"/>
    <col min="12" max="12" width="15.83203125" style="88" customWidth="1"/>
    <col min="13" max="13" width="10.83203125" style="88" hidden="1" customWidth="1"/>
    <col min="14" max="14" width="0" style="88" hidden="1" customWidth="1"/>
    <col min="15" max="16" width="14.1640625" style="88" hidden="1" customWidth="1"/>
    <col min="17" max="20" width="14.1640625" style="88" customWidth="1"/>
    <col min="21" max="21" width="16.33203125" style="88" customWidth="1"/>
    <col min="22" max="22" width="12.33203125" style="88" customWidth="1"/>
    <col min="23" max="23" width="16.33203125" style="88" customWidth="1"/>
    <col min="24" max="24" width="12.33203125" style="88" customWidth="1"/>
    <col min="25" max="25" width="15" style="88" customWidth="1"/>
    <col min="26" max="26" width="11" style="88" customWidth="1"/>
    <col min="27" max="27" width="15" style="88" customWidth="1"/>
    <col min="28" max="28" width="16.33203125" style="88" customWidth="1"/>
    <col min="29" max="29" width="11" style="88" customWidth="1"/>
    <col min="30" max="30" width="15" style="88" customWidth="1"/>
    <col min="31" max="31" width="16.33203125" style="88" customWidth="1"/>
    <col min="32" max="43" width="9.33203125" style="88"/>
    <col min="44" max="65" width="9.33203125" style="88" hidden="1"/>
    <col min="66" max="16384" width="9.33203125" style="88"/>
  </cols>
  <sheetData>
    <row r="1" spans="2:46" hidden="1" x14ac:dyDescent="0.2"/>
    <row r="2" spans="2:46" ht="36.950000000000003" hidden="1" customHeight="1" x14ac:dyDescent="0.2">
      <c r="L2" s="320" t="s">
        <v>5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90" t="s">
        <v>85</v>
      </c>
    </row>
    <row r="3" spans="2:46" ht="6.95" hidden="1" customHeight="1" x14ac:dyDescent="0.2">
      <c r="B3" s="91"/>
      <c r="C3" s="92"/>
      <c r="D3" s="92"/>
      <c r="E3" s="92"/>
      <c r="F3" s="92"/>
      <c r="G3" s="92"/>
      <c r="H3" s="92"/>
      <c r="I3" s="92"/>
      <c r="J3" s="92"/>
      <c r="K3" s="92"/>
      <c r="L3" s="94"/>
      <c r="AT3" s="90" t="s">
        <v>82</v>
      </c>
    </row>
    <row r="4" spans="2:46" ht="24.95" hidden="1" customHeight="1" x14ac:dyDescent="0.2">
      <c r="B4" s="94"/>
      <c r="D4" s="95" t="s">
        <v>96</v>
      </c>
      <c r="L4" s="94"/>
      <c r="M4" s="96" t="s">
        <v>10</v>
      </c>
      <c r="AT4" s="90" t="s">
        <v>3</v>
      </c>
    </row>
    <row r="5" spans="2:46" ht="6.95" hidden="1" customHeight="1" x14ac:dyDescent="0.2">
      <c r="B5" s="94"/>
      <c r="L5" s="94"/>
    </row>
    <row r="6" spans="2:46" ht="12" hidden="1" customHeight="1" x14ac:dyDescent="0.2">
      <c r="B6" s="94"/>
      <c r="D6" s="97" t="s">
        <v>16</v>
      </c>
      <c r="L6" s="94"/>
    </row>
    <row r="7" spans="2:46" ht="16.5" hidden="1" customHeight="1" x14ac:dyDescent="0.2">
      <c r="B7" s="94"/>
      <c r="E7" s="318" t="str">
        <f>'Rekapitulace stavby'!K6</f>
        <v>Horky nad Jizerou - oprava vodovodu při stavbě KNL - II. etapa</v>
      </c>
      <c r="F7" s="319"/>
      <c r="G7" s="319"/>
      <c r="H7" s="319"/>
      <c r="L7" s="94"/>
    </row>
    <row r="8" spans="2:46" s="99" customFormat="1" ht="12" hidden="1" customHeight="1" x14ac:dyDescent="0.2">
      <c r="B8" s="98"/>
      <c r="D8" s="97" t="s">
        <v>97</v>
      </c>
      <c r="L8" s="98"/>
    </row>
    <row r="9" spans="2:46" s="99" customFormat="1" ht="16.5" hidden="1" customHeight="1" x14ac:dyDescent="0.2">
      <c r="B9" s="98"/>
      <c r="E9" s="316" t="s">
        <v>612</v>
      </c>
      <c r="F9" s="317"/>
      <c r="G9" s="317"/>
      <c r="H9" s="317"/>
      <c r="L9" s="98"/>
    </row>
    <row r="10" spans="2:46" s="99" customFormat="1" hidden="1" x14ac:dyDescent="0.2">
      <c r="B10" s="98"/>
      <c r="L10" s="98"/>
    </row>
    <row r="11" spans="2:46" s="99" customFormat="1" ht="12" hidden="1" customHeight="1" x14ac:dyDescent="0.2">
      <c r="B11" s="98"/>
      <c r="D11" s="97" t="s">
        <v>18</v>
      </c>
      <c r="F11" s="102" t="s">
        <v>1</v>
      </c>
      <c r="I11" s="97" t="s">
        <v>19</v>
      </c>
      <c r="J11" s="102" t="s">
        <v>1</v>
      </c>
      <c r="L11" s="98"/>
    </row>
    <row r="12" spans="2:46" s="99" customFormat="1" ht="12" hidden="1" customHeight="1" x14ac:dyDescent="0.2">
      <c r="B12" s="98"/>
      <c r="D12" s="97" t="s">
        <v>20</v>
      </c>
      <c r="F12" s="102" t="s">
        <v>21</v>
      </c>
      <c r="I12" s="97" t="s">
        <v>22</v>
      </c>
      <c r="J12" s="103" t="str">
        <f>'Rekapitulace stavby'!AN8</f>
        <v>4. 11. 2024</v>
      </c>
      <c r="L12" s="98"/>
    </row>
    <row r="13" spans="2:46" s="99" customFormat="1" ht="10.9" hidden="1" customHeight="1" x14ac:dyDescent="0.2">
      <c r="B13" s="98"/>
      <c r="L13" s="98"/>
    </row>
    <row r="14" spans="2:46" s="99" customFormat="1" ht="12" hidden="1" customHeight="1" x14ac:dyDescent="0.2">
      <c r="B14" s="98"/>
      <c r="D14" s="97" t="s">
        <v>24</v>
      </c>
      <c r="I14" s="97" t="s">
        <v>25</v>
      </c>
      <c r="J14" s="102" t="str">
        <f>IF('Rekapitulace stavby'!AN10="","",'Rekapitulace stavby'!AN10)</f>
        <v/>
      </c>
      <c r="L14" s="98"/>
    </row>
    <row r="15" spans="2:46" s="99" customFormat="1" ht="18" hidden="1" customHeight="1" x14ac:dyDescent="0.2">
      <c r="B15" s="98"/>
      <c r="E15" s="102" t="str">
        <f>IF('Rekapitulace stavby'!E11="","",'Rekapitulace stavby'!E11)</f>
        <v xml:space="preserve"> </v>
      </c>
      <c r="I15" s="97" t="s">
        <v>26</v>
      </c>
      <c r="J15" s="102" t="str">
        <f>IF('Rekapitulace stavby'!AN11="","",'Rekapitulace stavby'!AN11)</f>
        <v/>
      </c>
      <c r="L15" s="98"/>
    </row>
    <row r="16" spans="2:46" s="99" customFormat="1" ht="6.95" hidden="1" customHeight="1" x14ac:dyDescent="0.2">
      <c r="B16" s="98"/>
      <c r="L16" s="98"/>
    </row>
    <row r="17" spans="2:12" s="99" customFormat="1" ht="12" hidden="1" customHeight="1" x14ac:dyDescent="0.2">
      <c r="B17" s="98"/>
      <c r="D17" s="97" t="s">
        <v>27</v>
      </c>
      <c r="I17" s="97" t="s">
        <v>25</v>
      </c>
      <c r="J17" s="104" t="str">
        <f>'Rekapitulace stavby'!AN13</f>
        <v>Vyplň údaj</v>
      </c>
      <c r="L17" s="98"/>
    </row>
    <row r="18" spans="2:12" s="99" customFormat="1" ht="18" hidden="1" customHeight="1" x14ac:dyDescent="0.2">
      <c r="B18" s="98"/>
      <c r="E18" s="322" t="str">
        <f>'Rekapitulace stavby'!E14</f>
        <v>Vyplň údaj</v>
      </c>
      <c r="F18" s="323"/>
      <c r="G18" s="323"/>
      <c r="H18" s="323"/>
      <c r="I18" s="97" t="s">
        <v>26</v>
      </c>
      <c r="J18" s="104" t="str">
        <f>'Rekapitulace stavby'!AN14</f>
        <v>Vyplň údaj</v>
      </c>
      <c r="L18" s="98"/>
    </row>
    <row r="19" spans="2:12" s="99" customFormat="1" ht="6.95" hidden="1" customHeight="1" x14ac:dyDescent="0.2">
      <c r="B19" s="98"/>
      <c r="L19" s="98"/>
    </row>
    <row r="20" spans="2:12" s="99" customFormat="1" ht="12" hidden="1" customHeight="1" x14ac:dyDescent="0.2">
      <c r="B20" s="98"/>
      <c r="D20" s="97" t="s">
        <v>29</v>
      </c>
      <c r="I20" s="97" t="s">
        <v>25</v>
      </c>
      <c r="J20" s="102" t="str">
        <f>IF('Rekapitulace stavby'!AN16="","",'Rekapitulace stavby'!AN16)</f>
        <v/>
      </c>
      <c r="L20" s="98"/>
    </row>
    <row r="21" spans="2:12" s="99" customFormat="1" ht="18" hidden="1" customHeight="1" x14ac:dyDescent="0.2">
      <c r="B21" s="98"/>
      <c r="E21" s="102" t="str">
        <f>IF('Rekapitulace stavby'!E17="","",'Rekapitulace stavby'!E17)</f>
        <v xml:space="preserve"> </v>
      </c>
      <c r="I21" s="97" t="s">
        <v>26</v>
      </c>
      <c r="J21" s="102" t="str">
        <f>IF('Rekapitulace stavby'!AN17="","",'Rekapitulace stavby'!AN17)</f>
        <v/>
      </c>
      <c r="L21" s="98"/>
    </row>
    <row r="22" spans="2:12" s="99" customFormat="1" ht="6.95" hidden="1" customHeight="1" x14ac:dyDescent="0.2">
      <c r="B22" s="98"/>
      <c r="L22" s="98"/>
    </row>
    <row r="23" spans="2:12" s="99" customFormat="1" ht="12" hidden="1" customHeight="1" x14ac:dyDescent="0.2">
      <c r="B23" s="98"/>
      <c r="D23" s="97" t="s">
        <v>31</v>
      </c>
      <c r="I23" s="97" t="s">
        <v>25</v>
      </c>
      <c r="J23" s="102" t="str">
        <f>IF('Rekapitulace stavby'!AN19="","",'Rekapitulace stavby'!AN19)</f>
        <v/>
      </c>
      <c r="L23" s="98"/>
    </row>
    <row r="24" spans="2:12" s="99" customFormat="1" ht="18" hidden="1" customHeight="1" x14ac:dyDescent="0.2">
      <c r="B24" s="98"/>
      <c r="E24" s="102" t="str">
        <f>IF('Rekapitulace stavby'!E20="","",'Rekapitulace stavby'!E20)</f>
        <v xml:space="preserve"> </v>
      </c>
      <c r="I24" s="97" t="s">
        <v>26</v>
      </c>
      <c r="J24" s="102" t="str">
        <f>IF('Rekapitulace stavby'!AN20="","",'Rekapitulace stavby'!AN20)</f>
        <v/>
      </c>
      <c r="L24" s="98"/>
    </row>
    <row r="25" spans="2:12" s="99" customFormat="1" ht="6.95" hidden="1" customHeight="1" x14ac:dyDescent="0.2">
      <c r="B25" s="98"/>
      <c r="L25" s="98"/>
    </row>
    <row r="26" spans="2:12" s="99" customFormat="1" ht="12" hidden="1" customHeight="1" x14ac:dyDescent="0.2">
      <c r="B26" s="98"/>
      <c r="D26" s="97" t="s">
        <v>32</v>
      </c>
      <c r="L26" s="98"/>
    </row>
    <row r="27" spans="2:12" s="105" customFormat="1" ht="16.5" hidden="1" customHeight="1" x14ac:dyDescent="0.2">
      <c r="B27" s="100"/>
      <c r="E27" s="324" t="s">
        <v>1</v>
      </c>
      <c r="F27" s="324"/>
      <c r="G27" s="324"/>
      <c r="H27" s="324"/>
      <c r="L27" s="100"/>
    </row>
    <row r="28" spans="2:12" s="99" customFormat="1" ht="6.95" hidden="1" customHeight="1" x14ac:dyDescent="0.2">
      <c r="B28" s="98"/>
      <c r="L28" s="98"/>
    </row>
    <row r="29" spans="2:12" s="99" customFormat="1" ht="6.95" hidden="1" customHeight="1" x14ac:dyDescent="0.2">
      <c r="B29" s="98"/>
      <c r="D29" s="106"/>
      <c r="E29" s="106"/>
      <c r="F29" s="106"/>
      <c r="G29" s="106"/>
      <c r="H29" s="106"/>
      <c r="I29" s="106"/>
      <c r="J29" s="106"/>
      <c r="K29" s="106"/>
      <c r="L29" s="98"/>
    </row>
    <row r="30" spans="2:12" s="99" customFormat="1" ht="25.35" hidden="1" customHeight="1" x14ac:dyDescent="0.2">
      <c r="B30" s="98"/>
      <c r="D30" s="107" t="s">
        <v>33</v>
      </c>
      <c r="J30" s="108">
        <f>ROUND(J126, 2)</f>
        <v>0</v>
      </c>
      <c r="L30" s="98"/>
    </row>
    <row r="31" spans="2:12" s="99" customFormat="1" ht="6.95" hidden="1" customHeight="1" x14ac:dyDescent="0.2">
      <c r="B31" s="98"/>
      <c r="D31" s="106"/>
      <c r="E31" s="106"/>
      <c r="F31" s="106"/>
      <c r="G31" s="106"/>
      <c r="H31" s="106"/>
      <c r="I31" s="106"/>
      <c r="J31" s="106"/>
      <c r="K31" s="106"/>
      <c r="L31" s="98"/>
    </row>
    <row r="32" spans="2:12" s="99" customFormat="1" ht="14.45" hidden="1" customHeight="1" x14ac:dyDescent="0.2">
      <c r="B32" s="98"/>
      <c r="F32" s="109" t="s">
        <v>35</v>
      </c>
      <c r="I32" s="109" t="s">
        <v>34</v>
      </c>
      <c r="J32" s="109" t="s">
        <v>36</v>
      </c>
      <c r="L32" s="98"/>
    </row>
    <row r="33" spans="2:12" s="99" customFormat="1" ht="14.45" hidden="1" customHeight="1" x14ac:dyDescent="0.2">
      <c r="B33" s="98"/>
      <c r="D33" s="110" t="s">
        <v>37</v>
      </c>
      <c r="E33" s="97" t="s">
        <v>38</v>
      </c>
      <c r="F33" s="111">
        <f>ROUND((SUM(BE126:BE304)),  2)</f>
        <v>0</v>
      </c>
      <c r="I33" s="112">
        <v>0.21</v>
      </c>
      <c r="J33" s="111">
        <f>ROUND(((SUM(BE126:BE304))*I33),  2)</f>
        <v>0</v>
      </c>
      <c r="L33" s="98"/>
    </row>
    <row r="34" spans="2:12" s="99" customFormat="1" ht="14.45" hidden="1" customHeight="1" x14ac:dyDescent="0.2">
      <c r="B34" s="98"/>
      <c r="E34" s="97" t="s">
        <v>39</v>
      </c>
      <c r="F34" s="111">
        <f>ROUND((SUM(BF126:BF304)),  2)</f>
        <v>0</v>
      </c>
      <c r="I34" s="112">
        <v>0.12</v>
      </c>
      <c r="J34" s="111">
        <f>ROUND(((SUM(BF126:BF304))*I34),  2)</f>
        <v>0</v>
      </c>
      <c r="L34" s="98"/>
    </row>
    <row r="35" spans="2:12" s="99" customFormat="1" ht="14.45" hidden="1" customHeight="1" x14ac:dyDescent="0.2">
      <c r="B35" s="98"/>
      <c r="E35" s="97" t="s">
        <v>40</v>
      </c>
      <c r="F35" s="111">
        <f>ROUND((SUM(BG126:BG304)),  2)</f>
        <v>0</v>
      </c>
      <c r="I35" s="112">
        <v>0.21</v>
      </c>
      <c r="J35" s="111">
        <f>0</f>
        <v>0</v>
      </c>
      <c r="L35" s="98"/>
    </row>
    <row r="36" spans="2:12" s="99" customFormat="1" ht="14.45" hidden="1" customHeight="1" x14ac:dyDescent="0.2">
      <c r="B36" s="98"/>
      <c r="E36" s="97" t="s">
        <v>41</v>
      </c>
      <c r="F36" s="111">
        <f>ROUND((SUM(BH126:BH304)),  2)</f>
        <v>0</v>
      </c>
      <c r="I36" s="112">
        <v>0.12</v>
      </c>
      <c r="J36" s="111">
        <f>0</f>
        <v>0</v>
      </c>
      <c r="L36" s="98"/>
    </row>
    <row r="37" spans="2:12" s="99" customFormat="1" ht="14.45" hidden="1" customHeight="1" x14ac:dyDescent="0.2">
      <c r="B37" s="98"/>
      <c r="E37" s="97" t="s">
        <v>42</v>
      </c>
      <c r="F37" s="111">
        <f>ROUND((SUM(BI126:BI304)),  2)</f>
        <v>0</v>
      </c>
      <c r="I37" s="112">
        <v>0</v>
      </c>
      <c r="J37" s="111">
        <f>0</f>
        <v>0</v>
      </c>
      <c r="L37" s="98"/>
    </row>
    <row r="38" spans="2:12" s="99" customFormat="1" ht="6.95" hidden="1" customHeight="1" x14ac:dyDescent="0.2">
      <c r="B38" s="98"/>
      <c r="L38" s="98"/>
    </row>
    <row r="39" spans="2:12" s="99" customFormat="1" ht="25.35" hidden="1" customHeight="1" x14ac:dyDescent="0.2">
      <c r="B39" s="98"/>
      <c r="C39" s="113"/>
      <c r="D39" s="114" t="s">
        <v>43</v>
      </c>
      <c r="E39" s="115"/>
      <c r="F39" s="115"/>
      <c r="G39" s="116" t="s">
        <v>44</v>
      </c>
      <c r="H39" s="117" t="s">
        <v>45</v>
      </c>
      <c r="I39" s="115"/>
      <c r="J39" s="118">
        <f>SUM(J30:J37)</f>
        <v>0</v>
      </c>
      <c r="K39" s="119"/>
      <c r="L39" s="98"/>
    </row>
    <row r="40" spans="2:12" s="99" customFormat="1" ht="14.45" hidden="1" customHeight="1" x14ac:dyDescent="0.2">
      <c r="B40" s="98"/>
      <c r="L40" s="98"/>
    </row>
    <row r="41" spans="2:12" ht="14.45" hidden="1" customHeight="1" x14ac:dyDescent="0.2">
      <c r="B41" s="94"/>
      <c r="L41" s="94"/>
    </row>
    <row r="42" spans="2:12" ht="14.45" hidden="1" customHeight="1" x14ac:dyDescent="0.2">
      <c r="B42" s="94"/>
      <c r="L42" s="94"/>
    </row>
    <row r="43" spans="2:12" ht="14.45" hidden="1" customHeight="1" x14ac:dyDescent="0.2">
      <c r="B43" s="94"/>
      <c r="L43" s="94"/>
    </row>
    <row r="44" spans="2:12" ht="14.45" hidden="1" customHeight="1" x14ac:dyDescent="0.2">
      <c r="B44" s="94"/>
      <c r="L44" s="94"/>
    </row>
    <row r="45" spans="2:12" ht="14.45" hidden="1" customHeight="1" x14ac:dyDescent="0.2">
      <c r="B45" s="94"/>
      <c r="L45" s="94"/>
    </row>
    <row r="46" spans="2:12" ht="14.45" hidden="1" customHeight="1" x14ac:dyDescent="0.2">
      <c r="B46" s="94"/>
      <c r="L46" s="94"/>
    </row>
    <row r="47" spans="2:12" ht="14.45" hidden="1" customHeight="1" x14ac:dyDescent="0.2">
      <c r="B47" s="94"/>
      <c r="L47" s="94"/>
    </row>
    <row r="48" spans="2:12" ht="14.45" hidden="1" customHeight="1" x14ac:dyDescent="0.2">
      <c r="B48" s="94"/>
      <c r="L48" s="94"/>
    </row>
    <row r="49" spans="2:12" ht="14.45" hidden="1" customHeight="1" x14ac:dyDescent="0.2">
      <c r="B49" s="94"/>
      <c r="L49" s="94"/>
    </row>
    <row r="50" spans="2:12" s="99" customFormat="1" ht="14.45" hidden="1" customHeight="1" x14ac:dyDescent="0.2">
      <c r="B50" s="98"/>
      <c r="D50" s="120" t="s">
        <v>46</v>
      </c>
      <c r="E50" s="121"/>
      <c r="F50" s="121"/>
      <c r="G50" s="120" t="s">
        <v>47</v>
      </c>
      <c r="H50" s="121"/>
      <c r="I50" s="121"/>
      <c r="J50" s="121"/>
      <c r="K50" s="121"/>
      <c r="L50" s="98"/>
    </row>
    <row r="51" spans="2:12" hidden="1" x14ac:dyDescent="0.2">
      <c r="B51" s="94"/>
      <c r="L51" s="94"/>
    </row>
    <row r="52" spans="2:12" hidden="1" x14ac:dyDescent="0.2">
      <c r="B52" s="94"/>
      <c r="L52" s="94"/>
    </row>
    <row r="53" spans="2:12" hidden="1" x14ac:dyDescent="0.2">
      <c r="B53" s="94"/>
      <c r="L53" s="94"/>
    </row>
    <row r="54" spans="2:12" hidden="1" x14ac:dyDescent="0.2">
      <c r="B54" s="94"/>
      <c r="L54" s="94"/>
    </row>
    <row r="55" spans="2:12" hidden="1" x14ac:dyDescent="0.2">
      <c r="B55" s="94"/>
      <c r="L55" s="94"/>
    </row>
    <row r="56" spans="2:12" hidden="1" x14ac:dyDescent="0.2">
      <c r="B56" s="94"/>
      <c r="L56" s="94"/>
    </row>
    <row r="57" spans="2:12" hidden="1" x14ac:dyDescent="0.2">
      <c r="B57" s="94"/>
      <c r="L57" s="94"/>
    </row>
    <row r="58" spans="2:12" hidden="1" x14ac:dyDescent="0.2">
      <c r="B58" s="94"/>
      <c r="L58" s="94"/>
    </row>
    <row r="59" spans="2:12" hidden="1" x14ac:dyDescent="0.2">
      <c r="B59" s="94"/>
      <c r="L59" s="94"/>
    </row>
    <row r="60" spans="2:12" hidden="1" x14ac:dyDescent="0.2">
      <c r="B60" s="94"/>
      <c r="L60" s="94"/>
    </row>
    <row r="61" spans="2:12" s="99" customFormat="1" ht="12.75" hidden="1" x14ac:dyDescent="0.2">
      <c r="B61" s="98"/>
      <c r="D61" s="122" t="s">
        <v>48</v>
      </c>
      <c r="E61" s="123"/>
      <c r="F61" s="124" t="s">
        <v>49</v>
      </c>
      <c r="G61" s="122" t="s">
        <v>48</v>
      </c>
      <c r="H61" s="123"/>
      <c r="I61" s="123"/>
      <c r="J61" s="125" t="s">
        <v>49</v>
      </c>
      <c r="K61" s="123"/>
      <c r="L61" s="98"/>
    </row>
    <row r="62" spans="2:12" hidden="1" x14ac:dyDescent="0.2">
      <c r="B62" s="94"/>
      <c r="L62" s="94"/>
    </row>
    <row r="63" spans="2:12" hidden="1" x14ac:dyDescent="0.2">
      <c r="B63" s="94"/>
      <c r="L63" s="94"/>
    </row>
    <row r="64" spans="2:12" hidden="1" x14ac:dyDescent="0.2">
      <c r="B64" s="94"/>
      <c r="L64" s="94"/>
    </row>
    <row r="65" spans="2:12" s="99" customFormat="1" ht="12.75" hidden="1" x14ac:dyDescent="0.2">
      <c r="B65" s="98"/>
      <c r="D65" s="120" t="s">
        <v>50</v>
      </c>
      <c r="E65" s="121"/>
      <c r="F65" s="121"/>
      <c r="G65" s="120" t="s">
        <v>51</v>
      </c>
      <c r="H65" s="121"/>
      <c r="I65" s="121"/>
      <c r="J65" s="121"/>
      <c r="K65" s="121"/>
      <c r="L65" s="98"/>
    </row>
    <row r="66" spans="2:12" hidden="1" x14ac:dyDescent="0.2">
      <c r="B66" s="94"/>
      <c r="L66" s="94"/>
    </row>
    <row r="67" spans="2:12" hidden="1" x14ac:dyDescent="0.2">
      <c r="B67" s="94"/>
      <c r="L67" s="94"/>
    </row>
    <row r="68" spans="2:12" hidden="1" x14ac:dyDescent="0.2">
      <c r="B68" s="94"/>
      <c r="L68" s="94"/>
    </row>
    <row r="69" spans="2:12" hidden="1" x14ac:dyDescent="0.2">
      <c r="B69" s="94"/>
      <c r="L69" s="94"/>
    </row>
    <row r="70" spans="2:12" hidden="1" x14ac:dyDescent="0.2">
      <c r="B70" s="94"/>
      <c r="L70" s="94"/>
    </row>
    <row r="71" spans="2:12" hidden="1" x14ac:dyDescent="0.2">
      <c r="B71" s="94"/>
      <c r="L71" s="94"/>
    </row>
    <row r="72" spans="2:12" hidden="1" x14ac:dyDescent="0.2">
      <c r="B72" s="94"/>
      <c r="L72" s="94"/>
    </row>
    <row r="73" spans="2:12" hidden="1" x14ac:dyDescent="0.2">
      <c r="B73" s="94"/>
      <c r="L73" s="94"/>
    </row>
    <row r="74" spans="2:12" hidden="1" x14ac:dyDescent="0.2">
      <c r="B74" s="94"/>
      <c r="L74" s="94"/>
    </row>
    <row r="75" spans="2:12" hidden="1" x14ac:dyDescent="0.2">
      <c r="B75" s="94"/>
      <c r="L75" s="94"/>
    </row>
    <row r="76" spans="2:12" s="99" customFormat="1" ht="12.75" hidden="1" x14ac:dyDescent="0.2">
      <c r="B76" s="98"/>
      <c r="D76" s="122" t="s">
        <v>48</v>
      </c>
      <c r="E76" s="123"/>
      <c r="F76" s="124" t="s">
        <v>49</v>
      </c>
      <c r="G76" s="122" t="s">
        <v>48</v>
      </c>
      <c r="H76" s="123"/>
      <c r="I76" s="123"/>
      <c r="J76" s="125" t="s">
        <v>49</v>
      </c>
      <c r="K76" s="123"/>
      <c r="L76" s="98"/>
    </row>
    <row r="77" spans="2:12" s="99" customFormat="1" ht="14.45" hidden="1" customHeight="1" x14ac:dyDescent="0.2"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98"/>
    </row>
    <row r="78" spans="2:12" hidden="1" x14ac:dyDescent="0.2"/>
    <row r="79" spans="2:12" hidden="1" x14ac:dyDescent="0.2"/>
    <row r="80" spans="2:12" hidden="1" x14ac:dyDescent="0.2"/>
    <row r="81" spans="2:47" s="99" customFormat="1" ht="6.95" hidden="1" customHeight="1" x14ac:dyDescent="0.2">
      <c r="B81" s="128"/>
      <c r="C81" s="129"/>
      <c r="D81" s="129"/>
      <c r="E81" s="129"/>
      <c r="F81" s="129"/>
      <c r="G81" s="129"/>
      <c r="H81" s="129"/>
      <c r="I81" s="129"/>
      <c r="J81" s="129"/>
      <c r="K81" s="129"/>
      <c r="L81" s="98"/>
    </row>
    <row r="82" spans="2:47" s="99" customFormat="1" ht="24.95" hidden="1" customHeight="1" x14ac:dyDescent="0.2">
      <c r="B82" s="98"/>
      <c r="C82" s="95" t="s">
        <v>99</v>
      </c>
      <c r="L82" s="98"/>
    </row>
    <row r="83" spans="2:47" s="99" customFormat="1" ht="6.95" hidden="1" customHeight="1" x14ac:dyDescent="0.2">
      <c r="B83" s="98"/>
      <c r="L83" s="98"/>
    </row>
    <row r="84" spans="2:47" s="99" customFormat="1" ht="12" hidden="1" customHeight="1" x14ac:dyDescent="0.2">
      <c r="B84" s="98"/>
      <c r="C84" s="97" t="s">
        <v>16</v>
      </c>
      <c r="L84" s="98"/>
    </row>
    <row r="85" spans="2:47" s="99" customFormat="1" ht="16.5" hidden="1" customHeight="1" x14ac:dyDescent="0.2">
      <c r="B85" s="98"/>
      <c r="E85" s="318" t="str">
        <f>E7</f>
        <v>Horky nad Jizerou - oprava vodovodu při stavbě KNL - II. etapa</v>
      </c>
      <c r="F85" s="319"/>
      <c r="G85" s="319"/>
      <c r="H85" s="319"/>
      <c r="L85" s="98"/>
    </row>
    <row r="86" spans="2:47" s="99" customFormat="1" ht="12" customHeight="1" x14ac:dyDescent="0.2">
      <c r="B86" s="98"/>
      <c r="C86" s="97" t="s">
        <v>97</v>
      </c>
      <c r="L86" s="98"/>
    </row>
    <row r="87" spans="2:47" s="99" customFormat="1" ht="16.5" customHeight="1" x14ac:dyDescent="0.2">
      <c r="B87" s="98"/>
      <c r="E87" s="316" t="str">
        <f>E9</f>
        <v>01.1 - SO 01.1 Vodovodní přípojky</v>
      </c>
      <c r="F87" s="317"/>
      <c r="G87" s="317"/>
      <c r="H87" s="317"/>
      <c r="L87" s="98"/>
    </row>
    <row r="88" spans="2:47" s="99" customFormat="1" ht="6.95" customHeight="1" x14ac:dyDescent="0.2">
      <c r="B88" s="98"/>
      <c r="L88" s="98"/>
    </row>
    <row r="89" spans="2:47" s="99" customFormat="1" ht="12" customHeight="1" x14ac:dyDescent="0.2">
      <c r="B89" s="98"/>
      <c r="C89" s="97" t="s">
        <v>20</v>
      </c>
      <c r="F89" s="102" t="str">
        <f>F12</f>
        <v xml:space="preserve"> </v>
      </c>
      <c r="I89" s="97" t="s">
        <v>22</v>
      </c>
      <c r="J89" s="103" t="str">
        <f>IF(J12="","",J12)</f>
        <v>4. 11. 2024</v>
      </c>
      <c r="L89" s="98"/>
    </row>
    <row r="90" spans="2:47" s="99" customFormat="1" ht="6.95" customHeight="1" x14ac:dyDescent="0.2">
      <c r="B90" s="98"/>
      <c r="L90" s="98"/>
    </row>
    <row r="91" spans="2:47" s="99" customFormat="1" ht="15.2" customHeight="1" x14ac:dyDescent="0.2">
      <c r="B91" s="98"/>
      <c r="C91" s="97" t="s">
        <v>24</v>
      </c>
      <c r="F91" s="102" t="str">
        <f>E15</f>
        <v xml:space="preserve"> </v>
      </c>
      <c r="I91" s="97" t="s">
        <v>29</v>
      </c>
      <c r="J91" s="130" t="str">
        <f>E21</f>
        <v xml:space="preserve"> </v>
      </c>
      <c r="L91" s="98"/>
    </row>
    <row r="92" spans="2:47" s="99" customFormat="1" ht="15.2" customHeight="1" x14ac:dyDescent="0.2">
      <c r="B92" s="98"/>
      <c r="C92" s="97" t="s">
        <v>27</v>
      </c>
      <c r="F92" s="102" t="str">
        <f>IF(E18="","",E18)</f>
        <v>Vyplň údaj</v>
      </c>
      <c r="I92" s="97" t="s">
        <v>31</v>
      </c>
      <c r="J92" s="130" t="str">
        <f>E24</f>
        <v xml:space="preserve"> </v>
      </c>
      <c r="L92" s="98"/>
    </row>
    <row r="93" spans="2:47" s="99" customFormat="1" ht="10.35" customHeight="1" x14ac:dyDescent="0.2">
      <c r="B93" s="98"/>
      <c r="L93" s="98"/>
    </row>
    <row r="94" spans="2:47" s="99" customFormat="1" ht="29.25" customHeight="1" x14ac:dyDescent="0.2">
      <c r="B94" s="98"/>
      <c r="C94" s="131" t="s">
        <v>100</v>
      </c>
      <c r="J94" s="132" t="s">
        <v>101</v>
      </c>
      <c r="K94" s="113"/>
      <c r="L94" s="98"/>
    </row>
    <row r="95" spans="2:47" s="99" customFormat="1" ht="10.35" customHeight="1" x14ac:dyDescent="0.2">
      <c r="B95" s="98"/>
      <c r="L95" s="98"/>
    </row>
    <row r="96" spans="2:47" s="99" customFormat="1" ht="22.9" customHeight="1" x14ac:dyDescent="0.2">
      <c r="B96" s="98"/>
      <c r="C96" s="133" t="s">
        <v>102</v>
      </c>
      <c r="J96" s="134">
        <f>SUM(J97,J105)</f>
        <v>0</v>
      </c>
      <c r="L96" s="98"/>
      <c r="AU96" s="90" t="s">
        <v>103</v>
      </c>
    </row>
    <row r="97" spans="2:12" s="136" customFormat="1" ht="24.95" customHeight="1" x14ac:dyDescent="0.2">
      <c r="B97" s="135"/>
      <c r="D97" s="137" t="s">
        <v>104</v>
      </c>
      <c r="E97" s="138"/>
      <c r="F97" s="138"/>
      <c r="G97" s="138"/>
      <c r="H97" s="138"/>
      <c r="I97" s="138"/>
      <c r="J97" s="139">
        <f>SUM(J98:J104)</f>
        <v>0</v>
      </c>
      <c r="L97" s="135"/>
    </row>
    <row r="98" spans="2:12" s="142" customFormat="1" ht="19.899999999999999" customHeight="1" x14ac:dyDescent="0.2">
      <c r="B98" s="141"/>
      <c r="D98" s="143" t="s">
        <v>105</v>
      </c>
      <c r="E98" s="144"/>
      <c r="F98" s="144"/>
      <c r="G98" s="144"/>
      <c r="H98" s="144"/>
      <c r="I98" s="144"/>
      <c r="J98" s="145">
        <f>J128</f>
        <v>0</v>
      </c>
      <c r="L98" s="141"/>
    </row>
    <row r="99" spans="2:12" s="142" customFormat="1" ht="19.899999999999999" customHeight="1" x14ac:dyDescent="0.2">
      <c r="B99" s="141"/>
      <c r="D99" s="143" t="s">
        <v>106</v>
      </c>
      <c r="E99" s="144"/>
      <c r="F99" s="144"/>
      <c r="G99" s="144"/>
      <c r="H99" s="144"/>
      <c r="I99" s="144"/>
      <c r="J99" s="145">
        <f>J210</f>
        <v>0</v>
      </c>
      <c r="L99" s="141"/>
    </row>
    <row r="100" spans="2:12" s="142" customFormat="1" ht="19.899999999999999" customHeight="1" x14ac:dyDescent="0.2">
      <c r="B100" s="141"/>
      <c r="D100" s="143" t="s">
        <v>107</v>
      </c>
      <c r="E100" s="144"/>
      <c r="F100" s="144"/>
      <c r="G100" s="144"/>
      <c r="H100" s="144"/>
      <c r="I100" s="144"/>
      <c r="J100" s="145">
        <f>J217</f>
        <v>0</v>
      </c>
      <c r="L100" s="141"/>
    </row>
    <row r="101" spans="2:12" s="142" customFormat="1" ht="19.899999999999999" customHeight="1" x14ac:dyDescent="0.2">
      <c r="B101" s="141"/>
      <c r="D101" s="143" t="s">
        <v>108</v>
      </c>
      <c r="E101" s="144"/>
      <c r="F101" s="144"/>
      <c r="G101" s="144"/>
      <c r="H101" s="144"/>
      <c r="I101" s="144"/>
      <c r="J101" s="145">
        <f>J246</f>
        <v>0</v>
      </c>
      <c r="L101" s="141"/>
    </row>
    <row r="102" spans="2:12" s="142" customFormat="1" ht="19.899999999999999" customHeight="1" x14ac:dyDescent="0.2">
      <c r="B102" s="141"/>
      <c r="D102" s="143" t="s">
        <v>109</v>
      </c>
      <c r="E102" s="144"/>
      <c r="F102" s="144"/>
      <c r="G102" s="144"/>
      <c r="H102" s="144"/>
      <c r="I102" s="144"/>
      <c r="J102" s="145">
        <f>J283</f>
        <v>0</v>
      </c>
      <c r="L102" s="141"/>
    </row>
    <row r="103" spans="2:12" s="142" customFormat="1" ht="19.899999999999999" customHeight="1" x14ac:dyDescent="0.2">
      <c r="B103" s="141"/>
      <c r="D103" s="143" t="s">
        <v>110</v>
      </c>
      <c r="E103" s="144"/>
      <c r="F103" s="144"/>
      <c r="G103" s="144"/>
      <c r="H103" s="144"/>
      <c r="I103" s="144"/>
      <c r="J103" s="145">
        <f>J290</f>
        <v>0</v>
      </c>
      <c r="L103" s="141"/>
    </row>
    <row r="104" spans="2:12" s="142" customFormat="1" ht="19.899999999999999" customHeight="1" x14ac:dyDescent="0.2">
      <c r="B104" s="141"/>
      <c r="D104" s="143" t="s">
        <v>111</v>
      </c>
      <c r="E104" s="144"/>
      <c r="F104" s="144"/>
      <c r="G104" s="144"/>
      <c r="H104" s="144"/>
      <c r="I104" s="144"/>
      <c r="J104" s="145">
        <f>J299</f>
        <v>0</v>
      </c>
      <c r="L104" s="141"/>
    </row>
    <row r="105" spans="2:12" s="136" customFormat="1" ht="24.95" customHeight="1" x14ac:dyDescent="0.2">
      <c r="B105" s="135"/>
      <c r="D105" s="137" t="s">
        <v>613</v>
      </c>
      <c r="E105" s="138"/>
      <c r="F105" s="138"/>
      <c r="G105" s="138"/>
      <c r="H105" s="138"/>
      <c r="I105" s="138"/>
      <c r="J105" s="139">
        <f>J106</f>
        <v>0</v>
      </c>
      <c r="L105" s="135"/>
    </row>
    <row r="106" spans="2:12" s="142" customFormat="1" ht="19.899999999999999" customHeight="1" x14ac:dyDescent="0.2">
      <c r="B106" s="141"/>
      <c r="D106" s="143" t="s">
        <v>614</v>
      </c>
      <c r="E106" s="144"/>
      <c r="F106" s="144"/>
      <c r="G106" s="144"/>
      <c r="H106" s="144"/>
      <c r="I106" s="144"/>
      <c r="J106" s="145">
        <f>J302</f>
        <v>0</v>
      </c>
      <c r="L106" s="141"/>
    </row>
    <row r="107" spans="2:12" s="99" customFormat="1" ht="21.75" customHeight="1" x14ac:dyDescent="0.2">
      <c r="B107" s="98"/>
      <c r="L107" s="98"/>
    </row>
    <row r="108" spans="2:12" s="99" customFormat="1" ht="6.95" customHeight="1" x14ac:dyDescent="0.2">
      <c r="B108" s="126"/>
      <c r="C108" s="127"/>
      <c r="D108" s="127"/>
      <c r="E108" s="127"/>
      <c r="F108" s="127"/>
      <c r="G108" s="127"/>
      <c r="H108" s="127"/>
      <c r="I108" s="127"/>
      <c r="J108" s="127"/>
      <c r="K108" s="127"/>
      <c r="L108" s="98"/>
    </row>
    <row r="112" spans="2:12" s="99" customFormat="1" ht="6.95" customHeight="1" x14ac:dyDescent="0.2">
      <c r="B112" s="128"/>
      <c r="C112" s="129"/>
      <c r="D112" s="129"/>
      <c r="E112" s="129"/>
      <c r="F112" s="129"/>
      <c r="G112" s="129"/>
      <c r="H112" s="129"/>
      <c r="I112" s="129"/>
      <c r="J112" s="129"/>
      <c r="K112" s="129"/>
      <c r="L112" s="98"/>
    </row>
    <row r="113" spans="2:63" s="99" customFormat="1" ht="24.95" customHeight="1" x14ac:dyDescent="0.2">
      <c r="B113" s="98"/>
      <c r="C113" s="95" t="s">
        <v>112</v>
      </c>
      <c r="L113" s="98"/>
    </row>
    <row r="114" spans="2:63" s="99" customFormat="1" ht="6.95" customHeight="1" x14ac:dyDescent="0.2">
      <c r="B114" s="98"/>
      <c r="L114" s="98"/>
    </row>
    <row r="115" spans="2:63" s="99" customFormat="1" ht="12" customHeight="1" x14ac:dyDescent="0.2">
      <c r="B115" s="98"/>
      <c r="C115" s="97" t="s">
        <v>16</v>
      </c>
      <c r="L115" s="98"/>
    </row>
    <row r="116" spans="2:63" s="99" customFormat="1" ht="16.5" customHeight="1" x14ac:dyDescent="0.2">
      <c r="B116" s="98"/>
      <c r="E116" s="318" t="str">
        <f>E7</f>
        <v>Horky nad Jizerou - oprava vodovodu při stavbě KNL - II. etapa</v>
      </c>
      <c r="F116" s="319"/>
      <c r="G116" s="319"/>
      <c r="H116" s="319"/>
      <c r="L116" s="98"/>
    </row>
    <row r="117" spans="2:63" s="99" customFormat="1" ht="12" customHeight="1" x14ac:dyDescent="0.2">
      <c r="B117" s="98"/>
      <c r="C117" s="97" t="s">
        <v>97</v>
      </c>
      <c r="L117" s="98"/>
    </row>
    <row r="118" spans="2:63" s="99" customFormat="1" ht="16.5" customHeight="1" x14ac:dyDescent="0.2">
      <c r="B118" s="98"/>
      <c r="E118" s="316" t="str">
        <f>E9</f>
        <v>01.1 - SO 01.1 Vodovodní přípojky</v>
      </c>
      <c r="F118" s="317"/>
      <c r="G118" s="317"/>
      <c r="H118" s="317"/>
      <c r="L118" s="98"/>
    </row>
    <row r="119" spans="2:63" s="99" customFormat="1" ht="6.95" customHeight="1" x14ac:dyDescent="0.2">
      <c r="B119" s="98"/>
      <c r="L119" s="98"/>
    </row>
    <row r="120" spans="2:63" s="99" customFormat="1" ht="12" customHeight="1" x14ac:dyDescent="0.2">
      <c r="B120" s="98"/>
      <c r="C120" s="97" t="s">
        <v>20</v>
      </c>
      <c r="F120" s="102" t="str">
        <f>F12</f>
        <v xml:space="preserve"> </v>
      </c>
      <c r="I120" s="97" t="s">
        <v>22</v>
      </c>
      <c r="J120" s="103" t="str">
        <f>IF(J12="","",J12)</f>
        <v>4. 11. 2024</v>
      </c>
      <c r="L120" s="98"/>
    </row>
    <row r="121" spans="2:63" s="99" customFormat="1" ht="6.95" customHeight="1" x14ac:dyDescent="0.2">
      <c r="B121" s="98"/>
      <c r="L121" s="98"/>
    </row>
    <row r="122" spans="2:63" s="99" customFormat="1" ht="15.2" customHeight="1" x14ac:dyDescent="0.2">
      <c r="B122" s="98"/>
      <c r="C122" s="97" t="s">
        <v>24</v>
      </c>
      <c r="F122" s="102" t="str">
        <f>E15</f>
        <v xml:space="preserve"> </v>
      </c>
      <c r="I122" s="97" t="s">
        <v>29</v>
      </c>
      <c r="J122" s="130" t="str">
        <f>E21</f>
        <v xml:space="preserve"> </v>
      </c>
      <c r="L122" s="98"/>
    </row>
    <row r="123" spans="2:63" s="99" customFormat="1" ht="15.2" customHeight="1" x14ac:dyDescent="0.2">
      <c r="B123" s="98"/>
      <c r="C123" s="97" t="s">
        <v>27</v>
      </c>
      <c r="F123" s="102" t="str">
        <f>IF(E18="","",E18)</f>
        <v>Vyplň údaj</v>
      </c>
      <c r="I123" s="97" t="s">
        <v>31</v>
      </c>
      <c r="J123" s="130" t="str">
        <f>E24</f>
        <v xml:space="preserve"> </v>
      </c>
      <c r="L123" s="98"/>
    </row>
    <row r="124" spans="2:63" s="99" customFormat="1" ht="10.35" customHeight="1" x14ac:dyDescent="0.2">
      <c r="B124" s="98"/>
      <c r="L124" s="98"/>
    </row>
    <row r="125" spans="2:63" s="155" customFormat="1" ht="29.25" customHeight="1" x14ac:dyDescent="0.2">
      <c r="B125" s="147"/>
      <c r="C125" s="148" t="s">
        <v>113</v>
      </c>
      <c r="D125" s="149" t="s">
        <v>57</v>
      </c>
      <c r="E125" s="149" t="s">
        <v>54</v>
      </c>
      <c r="F125" s="149" t="s">
        <v>55</v>
      </c>
      <c r="G125" s="149" t="s">
        <v>114</v>
      </c>
      <c r="H125" s="149" t="s">
        <v>115</v>
      </c>
      <c r="I125" s="149" t="s">
        <v>116</v>
      </c>
      <c r="J125" s="150" t="s">
        <v>101</v>
      </c>
      <c r="K125" s="250" t="s">
        <v>117</v>
      </c>
      <c r="L125" s="147"/>
      <c r="M125" s="152" t="s">
        <v>1</v>
      </c>
      <c r="N125" s="153" t="s">
        <v>37</v>
      </c>
      <c r="O125" s="153" t="s">
        <v>118</v>
      </c>
      <c r="P125" s="153" t="s">
        <v>119</v>
      </c>
      <c r="Q125" s="153" t="s">
        <v>120</v>
      </c>
      <c r="R125" s="153" t="s">
        <v>121</v>
      </c>
      <c r="S125" s="153" t="s">
        <v>122</v>
      </c>
      <c r="T125" s="154" t="s">
        <v>123</v>
      </c>
    </row>
    <row r="126" spans="2:63" s="99" customFormat="1" ht="22.9" customHeight="1" x14ac:dyDescent="0.25">
      <c r="B126" s="98"/>
      <c r="C126" s="156" t="s">
        <v>124</v>
      </c>
      <c r="J126" s="157">
        <f>J96</f>
        <v>0</v>
      </c>
      <c r="L126" s="98"/>
      <c r="M126" s="159"/>
      <c r="N126" s="106"/>
      <c r="O126" s="106"/>
      <c r="P126" s="160">
        <f>P127+P301</f>
        <v>0</v>
      </c>
      <c r="Q126" s="106"/>
      <c r="R126" s="160">
        <f>R127+R301</f>
        <v>5.012929119999999</v>
      </c>
      <c r="S126" s="106"/>
      <c r="T126" s="161">
        <f>T127+T301</f>
        <v>101.51400000000001</v>
      </c>
      <c r="AT126" s="90" t="s">
        <v>71</v>
      </c>
      <c r="AU126" s="90" t="s">
        <v>103</v>
      </c>
      <c r="BK126" s="162">
        <f>BK127+BK301</f>
        <v>0</v>
      </c>
    </row>
    <row r="127" spans="2:63" s="164" customFormat="1" ht="25.9" customHeight="1" x14ac:dyDescent="0.2">
      <c r="B127" s="163"/>
      <c r="D127" s="165" t="s">
        <v>71</v>
      </c>
      <c r="E127" s="166" t="s">
        <v>125</v>
      </c>
      <c r="F127" s="166" t="s">
        <v>126</v>
      </c>
      <c r="J127" s="167">
        <f>J97</f>
        <v>0</v>
      </c>
      <c r="L127" s="163"/>
      <c r="M127" s="169"/>
      <c r="P127" s="170">
        <f>P128+P210+P217+P246+P283+P290+P299</f>
        <v>0</v>
      </c>
      <c r="R127" s="170">
        <f>R128+R210+R217+R246+R283+R290+R299</f>
        <v>5.012929119999999</v>
      </c>
      <c r="T127" s="171">
        <f>T128+T210+T217+T246+T283+T290+T299</f>
        <v>101.51400000000001</v>
      </c>
      <c r="AR127" s="165" t="s">
        <v>80</v>
      </c>
      <c r="AT127" s="172" t="s">
        <v>71</v>
      </c>
      <c r="AU127" s="172" t="s">
        <v>72</v>
      </c>
      <c r="AY127" s="165" t="s">
        <v>127</v>
      </c>
      <c r="BK127" s="173">
        <f>BK128+BK210+BK217+BK246+BK283+BK290+BK299</f>
        <v>0</v>
      </c>
    </row>
    <row r="128" spans="2:63" s="164" customFormat="1" ht="22.9" customHeight="1" x14ac:dyDescent="0.2">
      <c r="B128" s="163"/>
      <c r="D128" s="165" t="s">
        <v>71</v>
      </c>
      <c r="E128" s="174" t="s">
        <v>80</v>
      </c>
      <c r="F128" s="174" t="s">
        <v>128</v>
      </c>
      <c r="J128" s="175">
        <f>SUM(J129:J208)</f>
        <v>0</v>
      </c>
      <c r="L128" s="163"/>
      <c r="M128" s="169"/>
      <c r="P128" s="170">
        <f>SUM(P129:P209)</f>
        <v>0</v>
      </c>
      <c r="R128" s="170">
        <f>SUM(R129:R209)</f>
        <v>2.3617211199999999</v>
      </c>
      <c r="T128" s="171">
        <f>SUM(T129:T209)</f>
        <v>101.34240000000001</v>
      </c>
      <c r="AR128" s="165" t="s">
        <v>80</v>
      </c>
      <c r="AT128" s="172" t="s">
        <v>71</v>
      </c>
      <c r="AU128" s="172" t="s">
        <v>80</v>
      </c>
      <c r="AY128" s="165" t="s">
        <v>127</v>
      </c>
      <c r="BK128" s="173">
        <f>SUM(BK129:BK209)</f>
        <v>0</v>
      </c>
    </row>
    <row r="129" spans="2:65" s="99" customFormat="1" ht="24.2" customHeight="1" x14ac:dyDescent="0.2">
      <c r="B129" s="98"/>
      <c r="C129" s="176">
        <v>1</v>
      </c>
      <c r="D129" s="176" t="s">
        <v>129</v>
      </c>
      <c r="E129" s="177" t="s">
        <v>135</v>
      </c>
      <c r="F129" s="178" t="s">
        <v>136</v>
      </c>
      <c r="G129" s="179" t="s">
        <v>130</v>
      </c>
      <c r="H129" s="180">
        <f>H130</f>
        <v>25.04</v>
      </c>
      <c r="I129" s="80"/>
      <c r="J129" s="181">
        <f>ROUND(I129*H129,2)</f>
        <v>0</v>
      </c>
      <c r="K129" s="182"/>
      <c r="L129" s="158"/>
      <c r="M129" s="183" t="s">
        <v>1</v>
      </c>
      <c r="N129" s="184" t="s">
        <v>38</v>
      </c>
      <c r="P129" s="185">
        <f>O129*H129</f>
        <v>0</v>
      </c>
      <c r="Q129" s="185">
        <v>0</v>
      </c>
      <c r="R129" s="185">
        <f>Q129*H129</f>
        <v>0</v>
      </c>
      <c r="S129" s="185">
        <v>0.3</v>
      </c>
      <c r="T129" s="186">
        <f>S129*H129</f>
        <v>7.5119999999999996</v>
      </c>
      <c r="AR129" s="131" t="s">
        <v>131</v>
      </c>
      <c r="AT129" s="131" t="s">
        <v>129</v>
      </c>
      <c r="AU129" s="131" t="s">
        <v>82</v>
      </c>
      <c r="AY129" s="90" t="s">
        <v>127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90" t="s">
        <v>80</v>
      </c>
      <c r="BK129" s="187">
        <f>ROUND(I129*H129,2)</f>
        <v>0</v>
      </c>
      <c r="BL129" s="90" t="s">
        <v>131</v>
      </c>
      <c r="BM129" s="131" t="s">
        <v>137</v>
      </c>
    </row>
    <row r="130" spans="2:65" s="189" customFormat="1" ht="22.5" x14ac:dyDescent="0.2">
      <c r="B130" s="188"/>
      <c r="D130" s="190" t="s">
        <v>132</v>
      </c>
      <c r="E130" s="191" t="s">
        <v>1</v>
      </c>
      <c r="F130" s="192" t="s">
        <v>972</v>
      </c>
      <c r="H130" s="193">
        <f>0.8*(2.4*2+2.2+2.6+2.5+2.1+2.3*3+2.7+2.5*3)</f>
        <v>25.04</v>
      </c>
      <c r="I130" s="82"/>
      <c r="L130" s="158"/>
      <c r="M130" s="194"/>
      <c r="T130" s="195"/>
      <c r="AT130" s="191" t="s">
        <v>132</v>
      </c>
      <c r="AU130" s="191" t="s">
        <v>82</v>
      </c>
      <c r="AV130" s="189" t="s">
        <v>82</v>
      </c>
      <c r="AW130" s="189" t="s">
        <v>30</v>
      </c>
      <c r="AX130" s="189" t="s">
        <v>72</v>
      </c>
      <c r="AY130" s="191" t="s">
        <v>127</v>
      </c>
    </row>
    <row r="131" spans="2:65" s="99" customFormat="1" ht="33" customHeight="1" x14ac:dyDescent="0.2">
      <c r="B131" s="98"/>
      <c r="C131" s="176" t="s">
        <v>82</v>
      </c>
      <c r="D131" s="176" t="s">
        <v>129</v>
      </c>
      <c r="E131" s="177" t="s">
        <v>616</v>
      </c>
      <c r="F131" s="178" t="s">
        <v>617</v>
      </c>
      <c r="G131" s="179" t="s">
        <v>130</v>
      </c>
      <c r="H131" s="180">
        <f>H135</f>
        <v>115.44</v>
      </c>
      <c r="I131" s="80"/>
      <c r="J131" s="181">
        <f>ROUND(I131*H131,2)</f>
        <v>0</v>
      </c>
      <c r="K131" s="182"/>
      <c r="L131" s="98"/>
      <c r="M131" s="183" t="s">
        <v>1</v>
      </c>
      <c r="N131" s="184" t="s">
        <v>38</v>
      </c>
      <c r="P131" s="185">
        <f>O131*H131</f>
        <v>0</v>
      </c>
      <c r="Q131" s="185">
        <v>0</v>
      </c>
      <c r="R131" s="185">
        <f>Q131*H131</f>
        <v>0</v>
      </c>
      <c r="S131" s="185">
        <v>0.44</v>
      </c>
      <c r="T131" s="186">
        <f>S131*H131</f>
        <v>50.793599999999998</v>
      </c>
      <c r="AR131" s="131" t="s">
        <v>131</v>
      </c>
      <c r="AT131" s="131" t="s">
        <v>129</v>
      </c>
      <c r="AU131" s="131" t="s">
        <v>82</v>
      </c>
      <c r="AY131" s="90" t="s">
        <v>127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90" t="s">
        <v>80</v>
      </c>
      <c r="BK131" s="187">
        <f>ROUND(I131*H131,2)</f>
        <v>0</v>
      </c>
      <c r="BL131" s="90" t="s">
        <v>131</v>
      </c>
      <c r="BM131" s="131" t="s">
        <v>618</v>
      </c>
    </row>
    <row r="132" spans="2:65" s="189" customFormat="1" x14ac:dyDescent="0.2">
      <c r="B132" s="188"/>
      <c r="D132" s="190" t="s">
        <v>132</v>
      </c>
      <c r="E132" s="191" t="s">
        <v>1</v>
      </c>
      <c r="F132" s="192" t="s">
        <v>619</v>
      </c>
      <c r="H132" s="193">
        <f>0.8*93</f>
        <v>74.400000000000006</v>
      </c>
      <c r="I132" s="82"/>
      <c r="L132" s="188"/>
      <c r="M132" s="194"/>
      <c r="T132" s="195"/>
      <c r="AT132" s="191" t="s">
        <v>132</v>
      </c>
      <c r="AU132" s="191" t="s">
        <v>82</v>
      </c>
      <c r="AV132" s="189" t="s">
        <v>82</v>
      </c>
      <c r="AW132" s="189" t="s">
        <v>30</v>
      </c>
      <c r="AX132" s="189" t="s">
        <v>72</v>
      </c>
      <c r="AY132" s="191" t="s">
        <v>127</v>
      </c>
    </row>
    <row r="133" spans="2:65" s="189" customFormat="1" x14ac:dyDescent="0.2">
      <c r="B133" s="188"/>
      <c r="D133" s="190" t="s">
        <v>132</v>
      </c>
      <c r="E133" s="191" t="s">
        <v>1</v>
      </c>
      <c r="F133" s="192" t="s">
        <v>655</v>
      </c>
      <c r="H133" s="193">
        <f>0.8*20</f>
        <v>16</v>
      </c>
      <c r="I133" s="82"/>
      <c r="L133" s="188"/>
      <c r="M133" s="194"/>
      <c r="T133" s="195"/>
      <c r="AT133" s="191" t="s">
        <v>132</v>
      </c>
      <c r="AU133" s="191" t="s">
        <v>82</v>
      </c>
      <c r="AV133" s="189" t="s">
        <v>82</v>
      </c>
      <c r="AW133" s="189" t="s">
        <v>30</v>
      </c>
      <c r="AX133" s="189" t="s">
        <v>72</v>
      </c>
      <c r="AY133" s="191" t="s">
        <v>127</v>
      </c>
    </row>
    <row r="134" spans="2:65" s="189" customFormat="1" ht="22.5" x14ac:dyDescent="0.2">
      <c r="B134" s="188"/>
      <c r="D134" s="190" t="s">
        <v>132</v>
      </c>
      <c r="E134" s="191" t="s">
        <v>1</v>
      </c>
      <c r="F134" s="192" t="s">
        <v>972</v>
      </c>
      <c r="H134" s="193">
        <f>0.8*(2.4*2+2.2+2.6+2.5+2.1+2.3*3+2.7+2.5*3)</f>
        <v>25.04</v>
      </c>
      <c r="I134" s="82"/>
      <c r="L134" s="158"/>
      <c r="M134" s="194"/>
      <c r="T134" s="195"/>
      <c r="AT134" s="191" t="s">
        <v>132</v>
      </c>
      <c r="AU134" s="191" t="s">
        <v>82</v>
      </c>
      <c r="AV134" s="189" t="s">
        <v>82</v>
      </c>
      <c r="AW134" s="189" t="s">
        <v>30</v>
      </c>
      <c r="AX134" s="189" t="s">
        <v>72</v>
      </c>
      <c r="AY134" s="191" t="s">
        <v>127</v>
      </c>
    </row>
    <row r="135" spans="2:65" s="198" customFormat="1" x14ac:dyDescent="0.2">
      <c r="B135" s="197"/>
      <c r="D135" s="190" t="s">
        <v>132</v>
      </c>
      <c r="E135" s="199" t="s">
        <v>1</v>
      </c>
      <c r="F135" s="200" t="s">
        <v>133</v>
      </c>
      <c r="H135" s="201">
        <f>SUM(H132:H134)</f>
        <v>115.44</v>
      </c>
      <c r="I135" s="83"/>
      <c r="L135" s="197"/>
      <c r="M135" s="203"/>
      <c r="T135" s="204"/>
      <c r="AT135" s="199" t="s">
        <v>132</v>
      </c>
      <c r="AU135" s="199" t="s">
        <v>82</v>
      </c>
      <c r="AV135" s="198" t="s">
        <v>131</v>
      </c>
      <c r="AW135" s="198" t="s">
        <v>30</v>
      </c>
      <c r="AX135" s="198" t="s">
        <v>80</v>
      </c>
      <c r="AY135" s="199" t="s">
        <v>127</v>
      </c>
    </row>
    <row r="136" spans="2:65" s="99" customFormat="1" ht="24.2" customHeight="1" x14ac:dyDescent="0.2">
      <c r="B136" s="98"/>
      <c r="C136" s="176">
        <v>3</v>
      </c>
      <c r="D136" s="176" t="s">
        <v>129</v>
      </c>
      <c r="E136" s="177"/>
      <c r="F136" s="178" t="s">
        <v>963</v>
      </c>
      <c r="G136" s="179" t="s">
        <v>130</v>
      </c>
      <c r="H136" s="180">
        <f>H139</f>
        <v>99.44</v>
      </c>
      <c r="I136" s="80"/>
      <c r="J136" s="181">
        <f>ROUND(I136*H136,2)</f>
        <v>0</v>
      </c>
      <c r="K136" s="182"/>
      <c r="L136" s="196"/>
      <c r="M136" s="183" t="s">
        <v>1</v>
      </c>
      <c r="N136" s="184" t="s">
        <v>38</v>
      </c>
      <c r="P136" s="185">
        <f>O136*H136</f>
        <v>0</v>
      </c>
      <c r="Q136" s="185">
        <v>0</v>
      </c>
      <c r="R136" s="185">
        <f>Q136*H136</f>
        <v>0</v>
      </c>
      <c r="S136" s="185">
        <v>0.22</v>
      </c>
      <c r="T136" s="186">
        <f>S136*H136</f>
        <v>21.876799999999999</v>
      </c>
      <c r="AR136" s="131" t="s">
        <v>131</v>
      </c>
      <c r="AT136" s="131" t="s">
        <v>129</v>
      </c>
      <c r="AU136" s="131" t="s">
        <v>82</v>
      </c>
      <c r="AY136" s="90" t="s">
        <v>127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90" t="s">
        <v>80</v>
      </c>
      <c r="BK136" s="187">
        <f>ROUND(I136*H136,2)</f>
        <v>0</v>
      </c>
      <c r="BL136" s="90" t="s">
        <v>131</v>
      </c>
      <c r="BM136" s="131" t="s">
        <v>142</v>
      </c>
    </row>
    <row r="137" spans="2:65" s="189" customFormat="1" x14ac:dyDescent="0.2">
      <c r="B137" s="188"/>
      <c r="D137" s="190" t="s">
        <v>132</v>
      </c>
      <c r="E137" s="191" t="s">
        <v>1</v>
      </c>
      <c r="F137" s="192" t="s">
        <v>619</v>
      </c>
      <c r="H137" s="193">
        <v>74.400000000000006</v>
      </c>
      <c r="I137" s="82"/>
      <c r="L137" s="188"/>
      <c r="M137" s="194"/>
      <c r="T137" s="195"/>
      <c r="AT137" s="191" t="s">
        <v>132</v>
      </c>
      <c r="AU137" s="191" t="s">
        <v>82</v>
      </c>
      <c r="AV137" s="189" t="s">
        <v>82</v>
      </c>
      <c r="AW137" s="189" t="s">
        <v>30</v>
      </c>
      <c r="AX137" s="189" t="s">
        <v>72</v>
      </c>
      <c r="AY137" s="191" t="s">
        <v>127</v>
      </c>
    </row>
    <row r="138" spans="2:65" s="189" customFormat="1" ht="22.5" x14ac:dyDescent="0.2">
      <c r="B138" s="188"/>
      <c r="D138" s="190" t="s">
        <v>132</v>
      </c>
      <c r="E138" s="191" t="s">
        <v>1</v>
      </c>
      <c r="F138" s="192" t="s">
        <v>972</v>
      </c>
      <c r="H138" s="193">
        <v>25.04</v>
      </c>
      <c r="I138" s="82"/>
      <c r="L138" s="158"/>
      <c r="M138" s="194"/>
      <c r="T138" s="195"/>
      <c r="AT138" s="191" t="s">
        <v>132</v>
      </c>
      <c r="AU138" s="191" t="s">
        <v>82</v>
      </c>
      <c r="AV138" s="189" t="s">
        <v>82</v>
      </c>
      <c r="AW138" s="189" t="s">
        <v>30</v>
      </c>
      <c r="AX138" s="189" t="s">
        <v>72</v>
      </c>
      <c r="AY138" s="191" t="s">
        <v>127</v>
      </c>
    </row>
    <row r="139" spans="2:65" s="198" customFormat="1" x14ac:dyDescent="0.2">
      <c r="B139" s="197"/>
      <c r="D139" s="190" t="s">
        <v>132</v>
      </c>
      <c r="E139" s="199" t="s">
        <v>1</v>
      </c>
      <c r="F139" s="200" t="s">
        <v>133</v>
      </c>
      <c r="H139" s="201">
        <f>SUM(H137:H138)</f>
        <v>99.44</v>
      </c>
      <c r="I139" s="83"/>
      <c r="L139" s="197"/>
      <c r="M139" s="203"/>
      <c r="T139" s="204"/>
      <c r="AT139" s="199" t="s">
        <v>132</v>
      </c>
      <c r="AU139" s="199" t="s">
        <v>82</v>
      </c>
      <c r="AV139" s="198" t="s">
        <v>131</v>
      </c>
      <c r="AW139" s="198" t="s">
        <v>30</v>
      </c>
      <c r="AX139" s="198" t="s">
        <v>80</v>
      </c>
      <c r="AY139" s="199" t="s">
        <v>127</v>
      </c>
    </row>
    <row r="140" spans="2:65" s="99" customFormat="1" ht="24.2" customHeight="1" x14ac:dyDescent="0.2">
      <c r="B140" s="98"/>
      <c r="C140" s="176">
        <v>4</v>
      </c>
      <c r="D140" s="176" t="s">
        <v>129</v>
      </c>
      <c r="E140" s="177"/>
      <c r="F140" s="178" t="s">
        <v>956</v>
      </c>
      <c r="G140" s="179" t="s">
        <v>130</v>
      </c>
      <c r="H140" s="180">
        <f>H142</f>
        <v>74.400000000000006</v>
      </c>
      <c r="I140" s="80"/>
      <c r="J140" s="181">
        <f>ROUND(I140*H140,2)</f>
        <v>0</v>
      </c>
      <c r="K140" s="182"/>
      <c r="L140" s="196"/>
      <c r="M140" s="183" t="s">
        <v>1</v>
      </c>
      <c r="N140" s="184" t="s">
        <v>38</v>
      </c>
      <c r="P140" s="185">
        <f>O140*H140</f>
        <v>0</v>
      </c>
      <c r="Q140" s="185">
        <v>1.0000000000000001E-5</v>
      </c>
      <c r="R140" s="185">
        <f>Q140*H140</f>
        <v>7.4400000000000009E-4</v>
      </c>
      <c r="S140" s="185">
        <v>9.1999999999999998E-2</v>
      </c>
      <c r="T140" s="186">
        <f>S140*H140</f>
        <v>6.8448000000000002</v>
      </c>
      <c r="AR140" s="131" t="s">
        <v>131</v>
      </c>
      <c r="AT140" s="131" t="s">
        <v>129</v>
      </c>
      <c r="AU140" s="131" t="s">
        <v>82</v>
      </c>
      <c r="AY140" s="90" t="s">
        <v>127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90" t="s">
        <v>80</v>
      </c>
      <c r="BK140" s="187">
        <f>ROUND(I140*H140,2)</f>
        <v>0</v>
      </c>
      <c r="BL140" s="90" t="s">
        <v>131</v>
      </c>
      <c r="BM140" s="131" t="s">
        <v>145</v>
      </c>
    </row>
    <row r="141" spans="2:65" s="189" customFormat="1" x14ac:dyDescent="0.2">
      <c r="B141" s="188"/>
      <c r="D141" s="190" t="s">
        <v>132</v>
      </c>
      <c r="E141" s="191" t="s">
        <v>1</v>
      </c>
      <c r="F141" s="192" t="s">
        <v>619</v>
      </c>
      <c r="H141" s="193">
        <v>74.400000000000006</v>
      </c>
      <c r="I141" s="82"/>
      <c r="L141" s="188"/>
      <c r="M141" s="194"/>
      <c r="T141" s="195"/>
      <c r="AT141" s="191" t="s">
        <v>132</v>
      </c>
      <c r="AU141" s="191" t="s">
        <v>82</v>
      </c>
      <c r="AV141" s="189" t="s">
        <v>82</v>
      </c>
      <c r="AW141" s="189" t="s">
        <v>30</v>
      </c>
      <c r="AX141" s="189" t="s">
        <v>72</v>
      </c>
      <c r="AY141" s="191" t="s">
        <v>127</v>
      </c>
    </row>
    <row r="142" spans="2:65" s="198" customFormat="1" x14ac:dyDescent="0.2">
      <c r="B142" s="197"/>
      <c r="D142" s="190" t="s">
        <v>132</v>
      </c>
      <c r="E142" s="199"/>
      <c r="F142" s="200" t="s">
        <v>133</v>
      </c>
      <c r="H142" s="201">
        <f>H141</f>
        <v>74.400000000000006</v>
      </c>
      <c r="I142" s="83"/>
      <c r="L142" s="202"/>
      <c r="M142" s="203"/>
      <c r="T142" s="204"/>
      <c r="AT142" s="199" t="s">
        <v>132</v>
      </c>
      <c r="AU142" s="199" t="s">
        <v>82</v>
      </c>
      <c r="AV142" s="198" t="s">
        <v>131</v>
      </c>
      <c r="AW142" s="198" t="s">
        <v>30</v>
      </c>
      <c r="AX142" s="198" t="s">
        <v>80</v>
      </c>
      <c r="AY142" s="199" t="s">
        <v>127</v>
      </c>
    </row>
    <row r="143" spans="2:65" s="99" customFormat="1" ht="24.2" customHeight="1" x14ac:dyDescent="0.2">
      <c r="B143" s="98"/>
      <c r="C143" s="176">
        <v>5</v>
      </c>
      <c r="D143" s="176" t="s">
        <v>129</v>
      </c>
      <c r="E143" s="177"/>
      <c r="F143" s="178" t="s">
        <v>957</v>
      </c>
      <c r="G143" s="179" t="s">
        <v>130</v>
      </c>
      <c r="H143" s="180">
        <f>H146</f>
        <v>99.44</v>
      </c>
      <c r="I143" s="80"/>
      <c r="J143" s="181">
        <f>ROUND(I143*H143,2)</f>
        <v>0</v>
      </c>
      <c r="K143" s="182"/>
      <c r="L143" s="196"/>
      <c r="M143" s="183" t="s">
        <v>1</v>
      </c>
      <c r="N143" s="184" t="s">
        <v>38</v>
      </c>
      <c r="P143" s="185">
        <f>O143*H143</f>
        <v>0</v>
      </c>
      <c r="Q143" s="185">
        <v>1.0000000000000001E-5</v>
      </c>
      <c r="R143" s="185">
        <f>Q143*H143</f>
        <v>9.944000000000001E-4</v>
      </c>
      <c r="S143" s="185">
        <v>0.115</v>
      </c>
      <c r="T143" s="186">
        <f>S143*H143</f>
        <v>11.435600000000001</v>
      </c>
      <c r="AR143" s="131" t="s">
        <v>131</v>
      </c>
      <c r="AT143" s="131" t="s">
        <v>129</v>
      </c>
      <c r="AU143" s="131" t="s">
        <v>82</v>
      </c>
      <c r="AY143" s="90" t="s">
        <v>127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90" t="s">
        <v>80</v>
      </c>
      <c r="BK143" s="187">
        <f>ROUND(I143*H143,2)</f>
        <v>0</v>
      </c>
      <c r="BL143" s="90" t="s">
        <v>131</v>
      </c>
      <c r="BM143" s="131" t="s">
        <v>147</v>
      </c>
    </row>
    <row r="144" spans="2:65" s="189" customFormat="1" ht="22.5" x14ac:dyDescent="0.2">
      <c r="B144" s="188"/>
      <c r="D144" s="190" t="s">
        <v>132</v>
      </c>
      <c r="E144" s="191" t="s">
        <v>1</v>
      </c>
      <c r="F144" s="192" t="s">
        <v>972</v>
      </c>
      <c r="H144" s="193">
        <v>25.04</v>
      </c>
      <c r="I144" s="82"/>
      <c r="L144" s="158"/>
      <c r="M144" s="194"/>
      <c r="T144" s="195"/>
      <c r="AT144" s="191" t="s">
        <v>132</v>
      </c>
      <c r="AU144" s="191" t="s">
        <v>82</v>
      </c>
      <c r="AV144" s="189" t="s">
        <v>82</v>
      </c>
      <c r="AW144" s="189" t="s">
        <v>30</v>
      </c>
      <c r="AX144" s="189" t="s">
        <v>72</v>
      </c>
      <c r="AY144" s="191" t="s">
        <v>127</v>
      </c>
    </row>
    <row r="145" spans="2:65" s="189" customFormat="1" x14ac:dyDescent="0.2">
      <c r="B145" s="188"/>
      <c r="D145" s="190" t="s">
        <v>132</v>
      </c>
      <c r="E145" s="191"/>
      <c r="F145" s="192" t="s">
        <v>999</v>
      </c>
      <c r="H145" s="193">
        <v>74.400000000000006</v>
      </c>
      <c r="I145" s="82"/>
      <c r="L145" s="158"/>
      <c r="M145" s="194"/>
      <c r="T145" s="195"/>
      <c r="AT145" s="191" t="s">
        <v>132</v>
      </c>
      <c r="AU145" s="191" t="s">
        <v>82</v>
      </c>
      <c r="AV145" s="189" t="s">
        <v>82</v>
      </c>
      <c r="AW145" s="189" t="s">
        <v>30</v>
      </c>
      <c r="AX145" s="189" t="s">
        <v>72</v>
      </c>
      <c r="AY145" s="191" t="s">
        <v>127</v>
      </c>
    </row>
    <row r="146" spans="2:65" s="198" customFormat="1" x14ac:dyDescent="0.2">
      <c r="B146" s="197"/>
      <c r="D146" s="190" t="s">
        <v>132</v>
      </c>
      <c r="E146" s="199" t="s">
        <v>1</v>
      </c>
      <c r="F146" s="200" t="s">
        <v>133</v>
      </c>
      <c r="H146" s="201">
        <f>SUM(H144:H145)</f>
        <v>99.44</v>
      </c>
      <c r="I146" s="83"/>
      <c r="L146" s="202"/>
      <c r="M146" s="203"/>
      <c r="T146" s="204"/>
      <c r="AT146" s="199" t="s">
        <v>132</v>
      </c>
      <c r="AU146" s="199" t="s">
        <v>82</v>
      </c>
      <c r="AV146" s="198" t="s">
        <v>131</v>
      </c>
      <c r="AW146" s="198" t="s">
        <v>30</v>
      </c>
      <c r="AX146" s="198" t="s">
        <v>80</v>
      </c>
      <c r="AY146" s="199" t="s">
        <v>127</v>
      </c>
    </row>
    <row r="147" spans="2:65" s="99" customFormat="1" ht="24.2" customHeight="1" x14ac:dyDescent="0.2">
      <c r="B147" s="98"/>
      <c r="C147" s="205" t="s">
        <v>144</v>
      </c>
      <c r="D147" s="176" t="s">
        <v>129</v>
      </c>
      <c r="E147" s="177"/>
      <c r="F147" s="178" t="s">
        <v>959</v>
      </c>
      <c r="G147" s="179" t="s">
        <v>130</v>
      </c>
      <c r="H147" s="180">
        <f>H148</f>
        <v>25.04</v>
      </c>
      <c r="I147" s="80"/>
      <c r="J147" s="181">
        <f>ROUND(I147*H147,2)</f>
        <v>0</v>
      </c>
      <c r="K147" s="182"/>
      <c r="L147" s="196"/>
      <c r="M147" s="183" t="s">
        <v>1</v>
      </c>
      <c r="N147" s="184" t="s">
        <v>38</v>
      </c>
      <c r="P147" s="185">
        <f>O147*H147</f>
        <v>0</v>
      </c>
      <c r="Q147" s="185">
        <v>1.0000000000000001E-5</v>
      </c>
      <c r="R147" s="185">
        <f>Q147*H147</f>
        <v>2.5040000000000001E-4</v>
      </c>
      <c r="S147" s="185">
        <v>0.115</v>
      </c>
      <c r="T147" s="186">
        <f>S147*H147</f>
        <v>2.8795999999999999</v>
      </c>
      <c r="AR147" s="131" t="s">
        <v>131</v>
      </c>
      <c r="AT147" s="131" t="s">
        <v>129</v>
      </c>
      <c r="AU147" s="131" t="s">
        <v>82</v>
      </c>
      <c r="AY147" s="90" t="s">
        <v>127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90" t="s">
        <v>80</v>
      </c>
      <c r="BK147" s="187">
        <f>ROUND(I147*H147,2)</f>
        <v>0</v>
      </c>
      <c r="BL147" s="90" t="s">
        <v>131</v>
      </c>
      <c r="BM147" s="131" t="s">
        <v>147</v>
      </c>
    </row>
    <row r="148" spans="2:65" s="189" customFormat="1" ht="22.5" x14ac:dyDescent="0.2">
      <c r="B148" s="188"/>
      <c r="D148" s="190" t="s">
        <v>132</v>
      </c>
      <c r="E148" s="191" t="s">
        <v>1</v>
      </c>
      <c r="F148" s="192" t="s">
        <v>973</v>
      </c>
      <c r="H148" s="193">
        <v>25.04</v>
      </c>
      <c r="I148" s="82"/>
      <c r="L148" s="158"/>
      <c r="M148" s="194"/>
      <c r="T148" s="195"/>
      <c r="AT148" s="191" t="s">
        <v>132</v>
      </c>
      <c r="AU148" s="191" t="s">
        <v>82</v>
      </c>
      <c r="AV148" s="189" t="s">
        <v>82</v>
      </c>
      <c r="AW148" s="189" t="s">
        <v>30</v>
      </c>
      <c r="AX148" s="189" t="s">
        <v>72</v>
      </c>
      <c r="AY148" s="191" t="s">
        <v>127</v>
      </c>
    </row>
    <row r="149" spans="2:65" s="99" customFormat="1" ht="24.2" customHeight="1" x14ac:dyDescent="0.2">
      <c r="B149" s="98"/>
      <c r="C149" s="176">
        <v>7</v>
      </c>
      <c r="D149" s="176" t="s">
        <v>129</v>
      </c>
      <c r="E149" s="177" t="s">
        <v>171</v>
      </c>
      <c r="F149" s="178" t="s">
        <v>974</v>
      </c>
      <c r="G149" s="179" t="s">
        <v>160</v>
      </c>
      <c r="H149" s="180">
        <v>52</v>
      </c>
      <c r="I149" s="80"/>
      <c r="J149" s="181">
        <f>ROUND(I149*H149,2)</f>
        <v>0</v>
      </c>
      <c r="K149" s="182"/>
      <c r="L149" s="98"/>
      <c r="M149" s="183" t="s">
        <v>1</v>
      </c>
      <c r="N149" s="184" t="s">
        <v>38</v>
      </c>
      <c r="P149" s="185">
        <f>O149*H149</f>
        <v>0</v>
      </c>
      <c r="Q149" s="185">
        <v>3.6900000000000002E-2</v>
      </c>
      <c r="R149" s="185">
        <f>Q149*H149</f>
        <v>1.9188000000000001</v>
      </c>
      <c r="S149" s="185">
        <v>0</v>
      </c>
      <c r="T149" s="186">
        <f>S149*H149</f>
        <v>0</v>
      </c>
      <c r="AR149" s="131" t="s">
        <v>131</v>
      </c>
      <c r="AT149" s="131" t="s">
        <v>129</v>
      </c>
      <c r="AU149" s="131" t="s">
        <v>82</v>
      </c>
      <c r="AY149" s="90" t="s">
        <v>127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90" t="s">
        <v>80</v>
      </c>
      <c r="BK149" s="187">
        <f>ROUND(I149*H149,2)</f>
        <v>0</v>
      </c>
      <c r="BL149" s="90" t="s">
        <v>131</v>
      </c>
      <c r="BM149" s="131" t="s">
        <v>622</v>
      </c>
    </row>
    <row r="150" spans="2:65" s="189" customFormat="1" x14ac:dyDescent="0.2">
      <c r="B150" s="188"/>
      <c r="D150" s="190" t="s">
        <v>132</v>
      </c>
      <c r="E150" s="191" t="s">
        <v>1</v>
      </c>
      <c r="F150" s="192" t="s">
        <v>623</v>
      </c>
      <c r="H150" s="193">
        <v>52</v>
      </c>
      <c r="I150" s="82"/>
      <c r="L150" s="188"/>
      <c r="M150" s="194"/>
      <c r="T150" s="195"/>
      <c r="AT150" s="191" t="s">
        <v>132</v>
      </c>
      <c r="AU150" s="191" t="s">
        <v>82</v>
      </c>
      <c r="AV150" s="189" t="s">
        <v>82</v>
      </c>
      <c r="AW150" s="189" t="s">
        <v>30</v>
      </c>
      <c r="AX150" s="189" t="s">
        <v>72</v>
      </c>
      <c r="AY150" s="191" t="s">
        <v>127</v>
      </c>
    </row>
    <row r="151" spans="2:65" s="198" customFormat="1" x14ac:dyDescent="0.2">
      <c r="B151" s="197"/>
      <c r="D151" s="190" t="s">
        <v>132</v>
      </c>
      <c r="E151" s="199" t="s">
        <v>1</v>
      </c>
      <c r="F151" s="200" t="s">
        <v>133</v>
      </c>
      <c r="H151" s="201">
        <v>52</v>
      </c>
      <c r="I151" s="83"/>
      <c r="L151" s="197"/>
      <c r="M151" s="203"/>
      <c r="T151" s="204"/>
      <c r="AT151" s="199" t="s">
        <v>132</v>
      </c>
      <c r="AU151" s="199" t="s">
        <v>82</v>
      </c>
      <c r="AV151" s="198" t="s">
        <v>131</v>
      </c>
      <c r="AW151" s="198" t="s">
        <v>30</v>
      </c>
      <c r="AX151" s="198" t="s">
        <v>80</v>
      </c>
      <c r="AY151" s="199" t="s">
        <v>127</v>
      </c>
    </row>
    <row r="152" spans="2:65" s="99" customFormat="1" ht="24.2" customHeight="1" x14ac:dyDescent="0.2">
      <c r="B152" s="98"/>
      <c r="C152" s="176">
        <v>8</v>
      </c>
      <c r="D152" s="176" t="s">
        <v>129</v>
      </c>
      <c r="E152" s="177" t="s">
        <v>175</v>
      </c>
      <c r="F152" s="178" t="s">
        <v>1053</v>
      </c>
      <c r="G152" s="179" t="s">
        <v>130</v>
      </c>
      <c r="H152" s="180">
        <f>H154</f>
        <v>32</v>
      </c>
      <c r="I152" s="80"/>
      <c r="J152" s="181">
        <f>ROUND(I152*H152,2)</f>
        <v>0</v>
      </c>
      <c r="K152" s="182"/>
      <c r="L152" s="98"/>
      <c r="M152" s="183" t="s">
        <v>1</v>
      </c>
      <c r="N152" s="184" t="s">
        <v>38</v>
      </c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AR152" s="131" t="s">
        <v>131</v>
      </c>
      <c r="AT152" s="131" t="s">
        <v>129</v>
      </c>
      <c r="AU152" s="131" t="s">
        <v>82</v>
      </c>
      <c r="AY152" s="90" t="s">
        <v>127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90" t="s">
        <v>80</v>
      </c>
      <c r="BK152" s="187">
        <f>ROUND(I152*H152,2)</f>
        <v>0</v>
      </c>
      <c r="BL152" s="90" t="s">
        <v>131</v>
      </c>
      <c r="BM152" s="131" t="s">
        <v>624</v>
      </c>
    </row>
    <row r="153" spans="2:65" s="207" customFormat="1" x14ac:dyDescent="0.2">
      <c r="B153" s="206"/>
      <c r="D153" s="190" t="s">
        <v>132</v>
      </c>
      <c r="E153" s="208" t="s">
        <v>1</v>
      </c>
      <c r="F153" s="209" t="s">
        <v>143</v>
      </c>
      <c r="H153" s="208" t="s">
        <v>1</v>
      </c>
      <c r="I153" s="84"/>
      <c r="L153" s="206"/>
      <c r="M153" s="211"/>
      <c r="T153" s="212"/>
      <c r="AT153" s="208" t="s">
        <v>132</v>
      </c>
      <c r="AU153" s="208" t="s">
        <v>82</v>
      </c>
      <c r="AV153" s="207" t="s">
        <v>80</v>
      </c>
      <c r="AW153" s="207" t="s">
        <v>30</v>
      </c>
      <c r="AX153" s="207" t="s">
        <v>72</v>
      </c>
      <c r="AY153" s="208" t="s">
        <v>127</v>
      </c>
    </row>
    <row r="154" spans="2:65" s="189" customFormat="1" x14ac:dyDescent="0.2">
      <c r="B154" s="188"/>
      <c r="D154" s="190" t="s">
        <v>132</v>
      </c>
      <c r="E154" s="191" t="s">
        <v>1</v>
      </c>
      <c r="F154" s="192" t="s">
        <v>625</v>
      </c>
      <c r="H154" s="193">
        <f>0.8*40</f>
        <v>32</v>
      </c>
      <c r="I154" s="82"/>
      <c r="L154" s="188"/>
      <c r="M154" s="194"/>
      <c r="T154" s="195"/>
      <c r="AT154" s="191" t="s">
        <v>132</v>
      </c>
      <c r="AU154" s="191" t="s">
        <v>82</v>
      </c>
      <c r="AV154" s="189" t="s">
        <v>82</v>
      </c>
      <c r="AW154" s="189" t="s">
        <v>30</v>
      </c>
      <c r="AX154" s="189" t="s">
        <v>72</v>
      </c>
      <c r="AY154" s="191" t="s">
        <v>127</v>
      </c>
    </row>
    <row r="155" spans="2:65" s="99" customFormat="1" ht="33" customHeight="1" x14ac:dyDescent="0.2">
      <c r="B155" s="98"/>
      <c r="C155" s="176">
        <v>9</v>
      </c>
      <c r="D155" s="176" t="s">
        <v>129</v>
      </c>
      <c r="E155" s="177" t="s">
        <v>626</v>
      </c>
      <c r="F155" s="178" t="s">
        <v>627</v>
      </c>
      <c r="G155" s="179" t="s">
        <v>180</v>
      </c>
      <c r="H155" s="180">
        <f>H160</f>
        <v>92.598720000000014</v>
      </c>
      <c r="I155" s="80"/>
      <c r="J155" s="181">
        <f>ROUND(I155*H155,2)</f>
        <v>0</v>
      </c>
      <c r="K155" s="182"/>
      <c r="L155" s="98"/>
      <c r="M155" s="183" t="s">
        <v>1</v>
      </c>
      <c r="N155" s="184" t="s">
        <v>38</v>
      </c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AR155" s="131" t="s">
        <v>131</v>
      </c>
      <c r="AT155" s="131" t="s">
        <v>129</v>
      </c>
      <c r="AU155" s="131" t="s">
        <v>82</v>
      </c>
      <c r="AY155" s="90" t="s">
        <v>127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90" t="s">
        <v>80</v>
      </c>
      <c r="BK155" s="187">
        <f>ROUND(I155*H155,2)</f>
        <v>0</v>
      </c>
      <c r="BL155" s="90" t="s">
        <v>131</v>
      </c>
      <c r="BM155" s="131" t="s">
        <v>628</v>
      </c>
    </row>
    <row r="156" spans="2:65" s="207" customFormat="1" x14ac:dyDescent="0.2">
      <c r="B156" s="206"/>
      <c r="D156" s="190" t="s">
        <v>132</v>
      </c>
      <c r="E156" s="208" t="s">
        <v>1</v>
      </c>
      <c r="F156" s="209" t="s">
        <v>143</v>
      </c>
      <c r="H156" s="208" t="s">
        <v>1</v>
      </c>
      <c r="I156" s="84"/>
      <c r="L156" s="206"/>
      <c r="M156" s="211"/>
      <c r="T156" s="212"/>
      <c r="AT156" s="208" t="s">
        <v>132</v>
      </c>
      <c r="AU156" s="208" t="s">
        <v>82</v>
      </c>
      <c r="AV156" s="207" t="s">
        <v>80</v>
      </c>
      <c r="AW156" s="207" t="s">
        <v>30</v>
      </c>
      <c r="AX156" s="207" t="s">
        <v>72</v>
      </c>
      <c r="AY156" s="208" t="s">
        <v>127</v>
      </c>
    </row>
    <row r="157" spans="2:65" s="189" customFormat="1" x14ac:dyDescent="0.2">
      <c r="B157" s="188"/>
      <c r="D157" s="190" t="s">
        <v>132</v>
      </c>
      <c r="E157" s="191" t="s">
        <v>1</v>
      </c>
      <c r="F157" s="192" t="s">
        <v>975</v>
      </c>
      <c r="H157" s="193">
        <f>0.8*1.7*154.22</f>
        <v>209.73920000000001</v>
      </c>
      <c r="I157" s="82"/>
      <c r="L157" s="188"/>
      <c r="M157" s="194"/>
      <c r="T157" s="195"/>
      <c r="AT157" s="191" t="s">
        <v>132</v>
      </c>
      <c r="AU157" s="191" t="s">
        <v>82</v>
      </c>
      <c r="AV157" s="189" t="s">
        <v>82</v>
      </c>
      <c r="AW157" s="189" t="s">
        <v>30</v>
      </c>
      <c r="AX157" s="189" t="s">
        <v>72</v>
      </c>
      <c r="AY157" s="191" t="s">
        <v>127</v>
      </c>
    </row>
    <row r="158" spans="2:65" s="189" customFormat="1" ht="22.5" x14ac:dyDescent="0.2">
      <c r="B158" s="188"/>
      <c r="D158" s="190" t="s">
        <v>132</v>
      </c>
      <c r="E158" s="191" t="s">
        <v>1</v>
      </c>
      <c r="F158" s="192" t="s">
        <v>976</v>
      </c>
      <c r="H158" s="193">
        <f>-((0.8*0.45*20)+(0.8*0.36*93)+(0.8*0.6*31.3)+(0.8*0.2*40))</f>
        <v>-55.408000000000001</v>
      </c>
      <c r="I158" s="82"/>
      <c r="L158" s="188"/>
      <c r="M158" s="194"/>
      <c r="T158" s="195"/>
      <c r="AT158" s="191" t="s">
        <v>132</v>
      </c>
      <c r="AU158" s="191" t="s">
        <v>82</v>
      </c>
      <c r="AV158" s="189" t="s">
        <v>82</v>
      </c>
      <c r="AW158" s="189" t="s">
        <v>30</v>
      </c>
      <c r="AX158" s="189" t="s">
        <v>72</v>
      </c>
      <c r="AY158" s="191" t="s">
        <v>127</v>
      </c>
    </row>
    <row r="159" spans="2:65" s="198" customFormat="1" x14ac:dyDescent="0.2">
      <c r="B159" s="197"/>
      <c r="D159" s="190" t="s">
        <v>132</v>
      </c>
      <c r="E159" s="199" t="s">
        <v>1</v>
      </c>
      <c r="F159" s="200" t="s">
        <v>133</v>
      </c>
      <c r="H159" s="201">
        <f>SUM(H157:H158)</f>
        <v>154.33120000000002</v>
      </c>
      <c r="I159" s="83"/>
      <c r="L159" s="197"/>
      <c r="M159" s="203"/>
      <c r="T159" s="204"/>
      <c r="AT159" s="199" t="s">
        <v>132</v>
      </c>
      <c r="AU159" s="199" t="s">
        <v>82</v>
      </c>
      <c r="AV159" s="198" t="s">
        <v>131</v>
      </c>
      <c r="AW159" s="198" t="s">
        <v>30</v>
      </c>
      <c r="AX159" s="198" t="s">
        <v>72</v>
      </c>
      <c r="AY159" s="199" t="s">
        <v>127</v>
      </c>
    </row>
    <row r="160" spans="2:65" s="189" customFormat="1" x14ac:dyDescent="0.2">
      <c r="B160" s="188"/>
      <c r="D160" s="190" t="s">
        <v>132</v>
      </c>
      <c r="E160" s="191" t="s">
        <v>1</v>
      </c>
      <c r="F160" s="192" t="s">
        <v>977</v>
      </c>
      <c r="H160" s="193">
        <f>H159*0.6</f>
        <v>92.598720000000014</v>
      </c>
      <c r="I160" s="82"/>
      <c r="L160" s="188"/>
      <c r="M160" s="194"/>
      <c r="T160" s="195"/>
      <c r="AT160" s="191" t="s">
        <v>132</v>
      </c>
      <c r="AU160" s="191" t="s">
        <v>82</v>
      </c>
      <c r="AV160" s="189" t="s">
        <v>82</v>
      </c>
      <c r="AW160" s="189" t="s">
        <v>30</v>
      </c>
      <c r="AX160" s="189" t="s">
        <v>80</v>
      </c>
      <c r="AY160" s="191" t="s">
        <v>127</v>
      </c>
    </row>
    <row r="161" spans="2:65" s="99" customFormat="1" ht="33" customHeight="1" x14ac:dyDescent="0.2">
      <c r="B161" s="98"/>
      <c r="C161" s="176">
        <v>10</v>
      </c>
      <c r="D161" s="176" t="s">
        <v>129</v>
      </c>
      <c r="E161" s="177" t="s">
        <v>629</v>
      </c>
      <c r="F161" s="178" t="s">
        <v>630</v>
      </c>
      <c r="G161" s="179" t="s">
        <v>180</v>
      </c>
      <c r="H161" s="180">
        <f>H162</f>
        <v>61.73248000000001</v>
      </c>
      <c r="I161" s="80"/>
      <c r="J161" s="181">
        <f>ROUND(I161*H161,2)</f>
        <v>0</v>
      </c>
      <c r="K161" s="182"/>
      <c r="L161" s="98"/>
      <c r="M161" s="183" t="s">
        <v>1</v>
      </c>
      <c r="N161" s="184" t="s">
        <v>38</v>
      </c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AR161" s="131" t="s">
        <v>131</v>
      </c>
      <c r="AT161" s="131" t="s">
        <v>129</v>
      </c>
      <c r="AU161" s="131" t="s">
        <v>82</v>
      </c>
      <c r="AY161" s="90" t="s">
        <v>127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90" t="s">
        <v>80</v>
      </c>
      <c r="BK161" s="187">
        <f>ROUND(I161*H161,2)</f>
        <v>0</v>
      </c>
      <c r="BL161" s="90" t="s">
        <v>131</v>
      </c>
      <c r="BM161" s="131" t="s">
        <v>631</v>
      </c>
    </row>
    <row r="162" spans="2:65" s="189" customFormat="1" x14ac:dyDescent="0.2">
      <c r="B162" s="188"/>
      <c r="D162" s="190" t="s">
        <v>132</v>
      </c>
      <c r="E162" s="191" t="s">
        <v>1</v>
      </c>
      <c r="F162" s="192" t="s">
        <v>978</v>
      </c>
      <c r="H162" s="193">
        <f>H159*0.4</f>
        <v>61.73248000000001</v>
      </c>
      <c r="I162" s="82"/>
      <c r="L162" s="188"/>
      <c r="M162" s="194"/>
      <c r="T162" s="195"/>
      <c r="AT162" s="191" t="s">
        <v>132</v>
      </c>
      <c r="AU162" s="191" t="s">
        <v>82</v>
      </c>
      <c r="AV162" s="189" t="s">
        <v>82</v>
      </c>
      <c r="AW162" s="189" t="s">
        <v>30</v>
      </c>
      <c r="AX162" s="189" t="s">
        <v>72</v>
      </c>
      <c r="AY162" s="191" t="s">
        <v>127</v>
      </c>
    </row>
    <row r="163" spans="2:65" s="99" customFormat="1" ht="24.2" customHeight="1" x14ac:dyDescent="0.2">
      <c r="B163" s="98"/>
      <c r="C163" s="176">
        <v>11</v>
      </c>
      <c r="D163" s="176" t="s">
        <v>129</v>
      </c>
      <c r="E163" s="177" t="s">
        <v>198</v>
      </c>
      <c r="F163" s="178" t="s">
        <v>199</v>
      </c>
      <c r="G163" s="179" t="s">
        <v>180</v>
      </c>
      <c r="H163" s="180">
        <f>H164</f>
        <v>175.76000000000002</v>
      </c>
      <c r="I163" s="80"/>
      <c r="J163" s="181">
        <f>ROUND(I163*H163,2)</f>
        <v>0</v>
      </c>
      <c r="K163" s="182"/>
      <c r="L163" s="98"/>
      <c r="M163" s="183" t="s">
        <v>1</v>
      </c>
      <c r="N163" s="184" t="s">
        <v>38</v>
      </c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AR163" s="131" t="s">
        <v>131</v>
      </c>
      <c r="AT163" s="131" t="s">
        <v>129</v>
      </c>
      <c r="AU163" s="131" t="s">
        <v>82</v>
      </c>
      <c r="AY163" s="90" t="s">
        <v>127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90" t="s">
        <v>80</v>
      </c>
      <c r="BK163" s="187">
        <f>ROUND(I163*H163,2)</f>
        <v>0</v>
      </c>
      <c r="BL163" s="90" t="s">
        <v>131</v>
      </c>
      <c r="BM163" s="131" t="s">
        <v>632</v>
      </c>
    </row>
    <row r="164" spans="2:65" s="189" customFormat="1" x14ac:dyDescent="0.2">
      <c r="B164" s="188"/>
      <c r="D164" s="190" t="s">
        <v>132</v>
      </c>
      <c r="E164" s="191" t="s">
        <v>1</v>
      </c>
      <c r="F164" s="192" t="s">
        <v>633</v>
      </c>
      <c r="H164" s="193">
        <f>(1.1*1.6*52)+(1.3*1.8*36)</f>
        <v>175.76000000000002</v>
      </c>
      <c r="I164" s="82"/>
      <c r="L164" s="188"/>
      <c r="M164" s="194"/>
      <c r="T164" s="195"/>
      <c r="AT164" s="191" t="s">
        <v>132</v>
      </c>
      <c r="AU164" s="191" t="s">
        <v>82</v>
      </c>
      <c r="AV164" s="189" t="s">
        <v>82</v>
      </c>
      <c r="AW164" s="189" t="s">
        <v>30</v>
      </c>
      <c r="AX164" s="189" t="s">
        <v>72</v>
      </c>
      <c r="AY164" s="191" t="s">
        <v>127</v>
      </c>
    </row>
    <row r="165" spans="2:65" s="99" customFormat="1" ht="21.75" customHeight="1" x14ac:dyDescent="0.2">
      <c r="B165" s="98"/>
      <c r="C165" s="176">
        <v>12</v>
      </c>
      <c r="D165" s="176" t="s">
        <v>129</v>
      </c>
      <c r="E165" s="177" t="s">
        <v>205</v>
      </c>
      <c r="F165" s="178" t="s">
        <v>206</v>
      </c>
      <c r="G165" s="179" t="s">
        <v>130</v>
      </c>
      <c r="H165" s="180">
        <f>H166</f>
        <v>524.34799999999996</v>
      </c>
      <c r="I165" s="80"/>
      <c r="J165" s="181">
        <f>ROUND(I165*H165,2)</f>
        <v>0</v>
      </c>
      <c r="K165" s="182"/>
      <c r="L165" s="98"/>
      <c r="M165" s="183" t="s">
        <v>1</v>
      </c>
      <c r="N165" s="184" t="s">
        <v>38</v>
      </c>
      <c r="P165" s="185">
        <f>O165*H165</f>
        <v>0</v>
      </c>
      <c r="Q165" s="185">
        <v>8.4000000000000003E-4</v>
      </c>
      <c r="R165" s="185">
        <f>Q165*H165</f>
        <v>0.44045232000000001</v>
      </c>
      <c r="S165" s="185">
        <v>0</v>
      </c>
      <c r="T165" s="186">
        <f>S165*H165</f>
        <v>0</v>
      </c>
      <c r="AR165" s="131" t="s">
        <v>131</v>
      </c>
      <c r="AT165" s="131" t="s">
        <v>129</v>
      </c>
      <c r="AU165" s="131" t="s">
        <v>82</v>
      </c>
      <c r="AY165" s="90" t="s">
        <v>127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90" t="s">
        <v>80</v>
      </c>
      <c r="BK165" s="187">
        <f>ROUND(I165*H165,2)</f>
        <v>0</v>
      </c>
      <c r="BL165" s="90" t="s">
        <v>131</v>
      </c>
      <c r="BM165" s="131" t="s">
        <v>634</v>
      </c>
    </row>
    <row r="166" spans="2:65" s="189" customFormat="1" x14ac:dyDescent="0.2">
      <c r="B166" s="188"/>
      <c r="D166" s="190" t="s">
        <v>132</v>
      </c>
      <c r="E166" s="191" t="s">
        <v>1</v>
      </c>
      <c r="F166" s="192" t="s">
        <v>979</v>
      </c>
      <c r="H166" s="193">
        <f>(2*1.7*154.22)</f>
        <v>524.34799999999996</v>
      </c>
      <c r="I166" s="82"/>
      <c r="L166" s="188"/>
      <c r="M166" s="194"/>
      <c r="T166" s="195"/>
      <c r="AT166" s="191" t="s">
        <v>132</v>
      </c>
      <c r="AU166" s="191" t="s">
        <v>82</v>
      </c>
      <c r="AV166" s="189" t="s">
        <v>82</v>
      </c>
      <c r="AW166" s="189" t="s">
        <v>30</v>
      </c>
      <c r="AX166" s="189" t="s">
        <v>72</v>
      </c>
      <c r="AY166" s="191" t="s">
        <v>127</v>
      </c>
    </row>
    <row r="167" spans="2:65" s="99" customFormat="1" ht="24.2" customHeight="1" x14ac:dyDescent="0.2">
      <c r="B167" s="98"/>
      <c r="C167" s="176">
        <v>13</v>
      </c>
      <c r="D167" s="176" t="s">
        <v>129</v>
      </c>
      <c r="E167" s="177" t="s">
        <v>218</v>
      </c>
      <c r="F167" s="178" t="s">
        <v>219</v>
      </c>
      <c r="G167" s="179" t="s">
        <v>130</v>
      </c>
      <c r="H167" s="180">
        <f>H165</f>
        <v>524.34799999999996</v>
      </c>
      <c r="I167" s="80"/>
      <c r="J167" s="181">
        <f>ROUND(I167*H167,2)</f>
        <v>0</v>
      </c>
      <c r="K167" s="182"/>
      <c r="L167" s="98"/>
      <c r="M167" s="183" t="s">
        <v>1</v>
      </c>
      <c r="N167" s="184" t="s">
        <v>38</v>
      </c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AR167" s="131" t="s">
        <v>131</v>
      </c>
      <c r="AT167" s="131" t="s">
        <v>129</v>
      </c>
      <c r="AU167" s="131" t="s">
        <v>82</v>
      </c>
      <c r="AY167" s="90" t="s">
        <v>127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90" t="s">
        <v>80</v>
      </c>
      <c r="BK167" s="187">
        <f>ROUND(I167*H167,2)</f>
        <v>0</v>
      </c>
      <c r="BL167" s="90" t="s">
        <v>131</v>
      </c>
      <c r="BM167" s="131" t="s">
        <v>635</v>
      </c>
    </row>
    <row r="168" spans="2:65" s="99" customFormat="1" ht="37.9" customHeight="1" x14ac:dyDescent="0.2">
      <c r="B168" s="98"/>
      <c r="C168" s="176">
        <v>14</v>
      </c>
      <c r="D168" s="176" t="s">
        <v>129</v>
      </c>
      <c r="E168" s="177"/>
      <c r="F168" s="178" t="s">
        <v>848</v>
      </c>
      <c r="G168" s="179" t="s">
        <v>180</v>
      </c>
      <c r="H168" s="180">
        <f>H176</f>
        <v>214.4998105263158</v>
      </c>
      <c r="I168" s="80"/>
      <c r="J168" s="181">
        <f>ROUND(I168*H168,2)</f>
        <v>0</v>
      </c>
      <c r="K168" s="182"/>
      <c r="L168" s="98"/>
      <c r="M168" s="183" t="s">
        <v>1</v>
      </c>
      <c r="N168" s="184" t="s">
        <v>38</v>
      </c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AR168" s="131" t="s">
        <v>131</v>
      </c>
      <c r="AT168" s="131" t="s">
        <v>129</v>
      </c>
      <c r="AU168" s="131" t="s">
        <v>82</v>
      </c>
      <c r="AY168" s="90" t="s">
        <v>127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90" t="s">
        <v>80</v>
      </c>
      <c r="BK168" s="187">
        <f>ROUND(I168*H168,2)</f>
        <v>0</v>
      </c>
      <c r="BL168" s="90" t="s">
        <v>131</v>
      </c>
      <c r="BM168" s="131" t="s">
        <v>636</v>
      </c>
    </row>
    <row r="169" spans="2:65" s="189" customFormat="1" x14ac:dyDescent="0.2">
      <c r="B169" s="188"/>
      <c r="D169" s="190" t="s">
        <v>132</v>
      </c>
      <c r="E169" s="191" t="s">
        <v>1</v>
      </c>
      <c r="F169" s="192" t="s">
        <v>1037</v>
      </c>
      <c r="H169" s="193">
        <f>115.44*0.3*2</f>
        <v>69.263999999999996</v>
      </c>
      <c r="I169" s="82"/>
      <c r="L169" s="158"/>
      <c r="M169" s="194"/>
      <c r="T169" s="195"/>
      <c r="AT169" s="191" t="s">
        <v>132</v>
      </c>
      <c r="AU169" s="191" t="s">
        <v>82</v>
      </c>
      <c r="AV169" s="189" t="s">
        <v>82</v>
      </c>
      <c r="AW169" s="189" t="s">
        <v>30</v>
      </c>
      <c r="AX169" s="189" t="s">
        <v>72</v>
      </c>
      <c r="AY169" s="191" t="s">
        <v>127</v>
      </c>
    </row>
    <row r="170" spans="2:65" s="189" customFormat="1" x14ac:dyDescent="0.2">
      <c r="B170" s="188"/>
      <c r="D170" s="190" t="s">
        <v>132</v>
      </c>
      <c r="E170" s="191" t="s">
        <v>1</v>
      </c>
      <c r="F170" s="192" t="s">
        <v>1040</v>
      </c>
      <c r="H170" s="193">
        <f>80.815/1.9</f>
        <v>42.534210526315789</v>
      </c>
      <c r="I170" s="82"/>
      <c r="L170" s="188"/>
      <c r="M170" s="194"/>
      <c r="T170" s="195"/>
      <c r="AT170" s="191" t="s">
        <v>132</v>
      </c>
      <c r="AU170" s="191" t="s">
        <v>82</v>
      </c>
      <c r="AV170" s="189" t="s">
        <v>82</v>
      </c>
      <c r="AW170" s="189" t="s">
        <v>30</v>
      </c>
      <c r="AX170" s="189" t="s">
        <v>72</v>
      </c>
      <c r="AY170" s="191" t="s">
        <v>127</v>
      </c>
    </row>
    <row r="171" spans="2:65" s="189" customFormat="1" x14ac:dyDescent="0.2">
      <c r="B171" s="188"/>
      <c r="D171" s="190" t="s">
        <v>132</v>
      </c>
      <c r="E171" s="191" t="s">
        <v>1</v>
      </c>
      <c r="F171" s="192" t="s">
        <v>995</v>
      </c>
      <c r="H171" s="193">
        <f xml:space="preserve"> (32*0.2)*2</f>
        <v>12.8</v>
      </c>
      <c r="I171" s="82"/>
      <c r="L171" s="188"/>
      <c r="M171" s="194"/>
      <c r="T171" s="195"/>
      <c r="AT171" s="191" t="s">
        <v>132</v>
      </c>
      <c r="AU171" s="191" t="s">
        <v>82</v>
      </c>
      <c r="AV171" s="189" t="s">
        <v>82</v>
      </c>
      <c r="AW171" s="189" t="s">
        <v>30</v>
      </c>
      <c r="AX171" s="189" t="s">
        <v>72</v>
      </c>
      <c r="AY171" s="191" t="s">
        <v>127</v>
      </c>
    </row>
    <row r="172" spans="2:65" s="189" customFormat="1" x14ac:dyDescent="0.2">
      <c r="B172" s="188"/>
      <c r="D172" s="190" t="s">
        <v>132</v>
      </c>
      <c r="E172" s="191" t="s">
        <v>1</v>
      </c>
      <c r="F172" s="192" t="s">
        <v>996</v>
      </c>
      <c r="H172" s="193">
        <f>H183</f>
        <v>30.844000000000001</v>
      </c>
      <c r="I172" s="82"/>
      <c r="L172" s="188"/>
      <c r="M172" s="194"/>
      <c r="T172" s="195"/>
      <c r="AT172" s="191" t="s">
        <v>132</v>
      </c>
      <c r="AU172" s="191" t="s">
        <v>82</v>
      </c>
      <c r="AV172" s="189" t="s">
        <v>82</v>
      </c>
      <c r="AW172" s="189" t="s">
        <v>30</v>
      </c>
      <c r="AX172" s="189" t="s">
        <v>72</v>
      </c>
      <c r="AY172" s="191" t="s">
        <v>127</v>
      </c>
    </row>
    <row r="173" spans="2:65" s="189" customFormat="1" x14ac:dyDescent="0.2">
      <c r="B173" s="188"/>
      <c r="D173" s="190" t="s">
        <v>132</v>
      </c>
      <c r="E173" s="191" t="s">
        <v>1</v>
      </c>
      <c r="F173" s="192" t="s">
        <v>997</v>
      </c>
      <c r="H173" s="193">
        <f>H184</f>
        <v>12.337600000000002</v>
      </c>
      <c r="I173" s="82"/>
      <c r="L173" s="188"/>
      <c r="M173" s="194"/>
      <c r="T173" s="195"/>
      <c r="AT173" s="191" t="s">
        <v>132</v>
      </c>
      <c r="AU173" s="191" t="s">
        <v>82</v>
      </c>
      <c r="AV173" s="189" t="s">
        <v>82</v>
      </c>
      <c r="AW173" s="189" t="s">
        <v>30</v>
      </c>
      <c r="AX173" s="189" t="s">
        <v>72</v>
      </c>
      <c r="AY173" s="191" t="s">
        <v>127</v>
      </c>
    </row>
    <row r="174" spans="2:65" s="189" customFormat="1" ht="22.5" x14ac:dyDescent="0.2">
      <c r="B174" s="188"/>
      <c r="D174" s="190" t="s">
        <v>132</v>
      </c>
      <c r="E174" s="191" t="s">
        <v>1</v>
      </c>
      <c r="F174" s="192" t="s">
        <v>998</v>
      </c>
      <c r="H174" s="193">
        <f>(25.04*0.15)+(32*0.2)+(74.4*0.25)+(25.04*0.3)</f>
        <v>36.268000000000001</v>
      </c>
      <c r="I174" s="82"/>
      <c r="L174" s="188"/>
      <c r="M174" s="194"/>
      <c r="T174" s="195"/>
      <c r="AT174" s="191" t="s">
        <v>132</v>
      </c>
      <c r="AU174" s="191" t="s">
        <v>82</v>
      </c>
      <c r="AV174" s="189" t="s">
        <v>82</v>
      </c>
      <c r="AW174" s="189" t="s">
        <v>30</v>
      </c>
      <c r="AX174" s="189" t="s">
        <v>72</v>
      </c>
      <c r="AY174" s="191" t="s">
        <v>127</v>
      </c>
    </row>
    <row r="175" spans="2:65" s="189" customFormat="1" x14ac:dyDescent="0.2">
      <c r="B175" s="188"/>
      <c r="D175" s="190" t="s">
        <v>132</v>
      </c>
      <c r="E175" s="191" t="s">
        <v>1</v>
      </c>
      <c r="F175" s="192" t="s">
        <v>1000</v>
      </c>
      <c r="H175" s="193">
        <f>74.4*0.04+99.44*0.05+25.04*0.1</f>
        <v>10.452</v>
      </c>
      <c r="I175" s="82"/>
      <c r="L175" s="188"/>
      <c r="M175" s="194"/>
      <c r="T175" s="195"/>
      <c r="AT175" s="191" t="s">
        <v>132</v>
      </c>
      <c r="AU175" s="191" t="s">
        <v>82</v>
      </c>
      <c r="AV175" s="189" t="s">
        <v>82</v>
      </c>
      <c r="AW175" s="189" t="s">
        <v>30</v>
      </c>
      <c r="AX175" s="189" t="s">
        <v>72</v>
      </c>
      <c r="AY175" s="191" t="s">
        <v>127</v>
      </c>
    </row>
    <row r="176" spans="2:65" s="198" customFormat="1" x14ac:dyDescent="0.2">
      <c r="B176" s="197"/>
      <c r="D176" s="190" t="s">
        <v>132</v>
      </c>
      <c r="E176" s="199" t="s">
        <v>1</v>
      </c>
      <c r="F176" s="200" t="s">
        <v>133</v>
      </c>
      <c r="H176" s="201">
        <f>SUM(H169:H175)</f>
        <v>214.4998105263158</v>
      </c>
      <c r="I176" s="83"/>
      <c r="L176" s="197"/>
      <c r="M176" s="203"/>
      <c r="T176" s="204"/>
      <c r="AT176" s="199" t="s">
        <v>132</v>
      </c>
      <c r="AU176" s="199" t="s">
        <v>82</v>
      </c>
      <c r="AV176" s="198" t="s">
        <v>131</v>
      </c>
      <c r="AW176" s="198" t="s">
        <v>30</v>
      </c>
      <c r="AX176" s="198" t="s">
        <v>80</v>
      </c>
      <c r="AY176" s="199" t="s">
        <v>127</v>
      </c>
    </row>
    <row r="177" spans="2:65" s="99" customFormat="1" ht="37.9" customHeight="1" x14ac:dyDescent="0.2">
      <c r="B177" s="98"/>
      <c r="C177" s="176">
        <v>15</v>
      </c>
      <c r="D177" s="176" t="s">
        <v>129</v>
      </c>
      <c r="E177" s="177"/>
      <c r="F177" s="178" t="s">
        <v>839</v>
      </c>
      <c r="G177" s="179" t="s">
        <v>180</v>
      </c>
      <c r="H177" s="180">
        <f>H178</f>
        <v>77.165499999999994</v>
      </c>
      <c r="I177" s="80"/>
      <c r="J177" s="181">
        <f>ROUND(I177*H177,2)</f>
        <v>0</v>
      </c>
      <c r="K177" s="182"/>
      <c r="L177" s="98"/>
      <c r="M177" s="183" t="s">
        <v>1</v>
      </c>
      <c r="N177" s="184" t="s">
        <v>38</v>
      </c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AR177" s="131" t="s">
        <v>131</v>
      </c>
      <c r="AT177" s="131" t="s">
        <v>129</v>
      </c>
      <c r="AU177" s="131" t="s">
        <v>82</v>
      </c>
      <c r="AY177" s="90" t="s">
        <v>127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90" t="s">
        <v>80</v>
      </c>
      <c r="BK177" s="187">
        <f>ROUND(I177*H177,2)</f>
        <v>0</v>
      </c>
      <c r="BL177" s="90" t="s">
        <v>131</v>
      </c>
      <c r="BM177" s="131" t="s">
        <v>637</v>
      </c>
    </row>
    <row r="178" spans="2:65" s="189" customFormat="1" ht="33.75" x14ac:dyDescent="0.2">
      <c r="B178" s="188"/>
      <c r="D178" s="190" t="s">
        <v>132</v>
      </c>
      <c r="E178" s="191" t="s">
        <v>1</v>
      </c>
      <c r="F178" s="192" t="s">
        <v>991</v>
      </c>
      <c r="H178" s="193">
        <f>154.331*0.5</f>
        <v>77.165499999999994</v>
      </c>
      <c r="I178" s="82"/>
      <c r="L178" s="188"/>
      <c r="M178" s="194"/>
      <c r="T178" s="195"/>
      <c r="AT178" s="191" t="s">
        <v>132</v>
      </c>
      <c r="AU178" s="191" t="s">
        <v>82</v>
      </c>
      <c r="AV178" s="189" t="s">
        <v>82</v>
      </c>
      <c r="AW178" s="189" t="s">
        <v>30</v>
      </c>
      <c r="AX178" s="189" t="s">
        <v>72</v>
      </c>
      <c r="AY178" s="191" t="s">
        <v>127</v>
      </c>
    </row>
    <row r="179" spans="2:65" s="99" customFormat="1" ht="24.2" customHeight="1" x14ac:dyDescent="0.2">
      <c r="B179" s="98"/>
      <c r="C179" s="176">
        <v>16</v>
      </c>
      <c r="D179" s="176" t="s">
        <v>129</v>
      </c>
      <c r="E179" s="177" t="s">
        <v>228</v>
      </c>
      <c r="F179" s="178" t="s">
        <v>229</v>
      </c>
      <c r="G179" s="179" t="s">
        <v>180</v>
      </c>
      <c r="H179" s="180">
        <f>H187</f>
        <v>173.46781052631579</v>
      </c>
      <c r="I179" s="80"/>
      <c r="J179" s="181">
        <f>ROUND(I179*H179,2)</f>
        <v>0</v>
      </c>
      <c r="K179" s="182"/>
      <c r="L179" s="98"/>
      <c r="M179" s="183" t="s">
        <v>1</v>
      </c>
      <c r="N179" s="184" t="s">
        <v>38</v>
      </c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AR179" s="131" t="s">
        <v>131</v>
      </c>
      <c r="AT179" s="131" t="s">
        <v>129</v>
      </c>
      <c r="AU179" s="131" t="s">
        <v>82</v>
      </c>
      <c r="AY179" s="90" t="s">
        <v>127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90" t="s">
        <v>80</v>
      </c>
      <c r="BK179" s="187">
        <f>ROUND(I179*H179,2)</f>
        <v>0</v>
      </c>
      <c r="BL179" s="90" t="s">
        <v>131</v>
      </c>
      <c r="BM179" s="131" t="s">
        <v>638</v>
      </c>
    </row>
    <row r="180" spans="2:65" s="189" customFormat="1" x14ac:dyDescent="0.2">
      <c r="B180" s="188"/>
      <c r="D180" s="190" t="s">
        <v>132</v>
      </c>
      <c r="E180" s="191" t="s">
        <v>1</v>
      </c>
      <c r="F180" s="192" t="s">
        <v>1038</v>
      </c>
      <c r="H180" s="193">
        <f>115.44*0.3</f>
        <v>34.631999999999998</v>
      </c>
      <c r="I180" s="82"/>
      <c r="L180" s="158"/>
      <c r="M180" s="194"/>
      <c r="T180" s="195"/>
      <c r="AT180" s="191" t="s">
        <v>132</v>
      </c>
      <c r="AU180" s="191" t="s">
        <v>82</v>
      </c>
      <c r="AV180" s="189" t="s">
        <v>82</v>
      </c>
      <c r="AW180" s="189" t="s">
        <v>30</v>
      </c>
      <c r="AX180" s="189" t="s">
        <v>72</v>
      </c>
      <c r="AY180" s="191" t="s">
        <v>127</v>
      </c>
    </row>
    <row r="181" spans="2:65" s="189" customFormat="1" x14ac:dyDescent="0.2">
      <c r="B181" s="188"/>
      <c r="D181" s="190" t="s">
        <v>132</v>
      </c>
      <c r="E181" s="191" t="s">
        <v>1</v>
      </c>
      <c r="F181" s="192" t="s">
        <v>1040</v>
      </c>
      <c r="H181" s="193">
        <f>80.815/1.9</f>
        <v>42.534210526315789</v>
      </c>
      <c r="I181" s="82"/>
      <c r="L181" s="188"/>
      <c r="M181" s="194"/>
      <c r="T181" s="195"/>
      <c r="AT181" s="191" t="s">
        <v>132</v>
      </c>
      <c r="AU181" s="191" t="s">
        <v>82</v>
      </c>
      <c r="AV181" s="189" t="s">
        <v>82</v>
      </c>
      <c r="AW181" s="189" t="s">
        <v>30</v>
      </c>
      <c r="AX181" s="189" t="s">
        <v>72</v>
      </c>
      <c r="AY181" s="191" t="s">
        <v>127</v>
      </c>
    </row>
    <row r="182" spans="2:65" s="189" customFormat="1" x14ac:dyDescent="0.2">
      <c r="B182" s="188"/>
      <c r="D182" s="190" t="s">
        <v>132</v>
      </c>
      <c r="E182" s="191" t="s">
        <v>1</v>
      </c>
      <c r="F182" s="192" t="s">
        <v>1002</v>
      </c>
      <c r="H182" s="193">
        <f xml:space="preserve"> (32*0.2)</f>
        <v>6.4</v>
      </c>
      <c r="I182" s="82"/>
      <c r="L182" s="158"/>
      <c r="M182" s="194"/>
      <c r="T182" s="195"/>
      <c r="AT182" s="191" t="s">
        <v>132</v>
      </c>
      <c r="AU182" s="191" t="s">
        <v>82</v>
      </c>
      <c r="AV182" s="189" t="s">
        <v>82</v>
      </c>
      <c r="AW182" s="189" t="s">
        <v>30</v>
      </c>
      <c r="AX182" s="189" t="s">
        <v>72</v>
      </c>
      <c r="AY182" s="191" t="s">
        <v>127</v>
      </c>
    </row>
    <row r="183" spans="2:65" s="189" customFormat="1" x14ac:dyDescent="0.2">
      <c r="B183" s="188"/>
      <c r="D183" s="190" t="s">
        <v>132</v>
      </c>
      <c r="E183" s="191" t="s">
        <v>1</v>
      </c>
      <c r="F183" s="192" t="s">
        <v>996</v>
      </c>
      <c r="H183" s="193">
        <f>H200</f>
        <v>30.844000000000001</v>
      </c>
      <c r="I183" s="82"/>
      <c r="L183" s="158"/>
      <c r="M183" s="194"/>
      <c r="T183" s="195"/>
      <c r="AT183" s="191" t="s">
        <v>132</v>
      </c>
      <c r="AU183" s="191" t="s">
        <v>82</v>
      </c>
      <c r="AV183" s="189" t="s">
        <v>82</v>
      </c>
      <c r="AW183" s="189" t="s">
        <v>30</v>
      </c>
      <c r="AX183" s="189" t="s">
        <v>72</v>
      </c>
      <c r="AY183" s="191" t="s">
        <v>127</v>
      </c>
    </row>
    <row r="184" spans="2:65" s="189" customFormat="1" x14ac:dyDescent="0.2">
      <c r="B184" s="188"/>
      <c r="D184" s="190" t="s">
        <v>132</v>
      </c>
      <c r="E184" s="191" t="s">
        <v>1</v>
      </c>
      <c r="F184" s="192" t="s">
        <v>997</v>
      </c>
      <c r="H184" s="193">
        <f>H211</f>
        <v>12.337600000000002</v>
      </c>
      <c r="I184" s="82"/>
      <c r="L184" s="158"/>
      <c r="M184" s="194"/>
      <c r="T184" s="195"/>
      <c r="AT184" s="191" t="s">
        <v>132</v>
      </c>
      <c r="AU184" s="191" t="s">
        <v>82</v>
      </c>
      <c r="AV184" s="189" t="s">
        <v>82</v>
      </c>
      <c r="AW184" s="189" t="s">
        <v>30</v>
      </c>
      <c r="AX184" s="189" t="s">
        <v>72</v>
      </c>
      <c r="AY184" s="191" t="s">
        <v>127</v>
      </c>
    </row>
    <row r="185" spans="2:65" s="189" customFormat="1" ht="22.5" x14ac:dyDescent="0.2">
      <c r="B185" s="188"/>
      <c r="D185" s="190" t="s">
        <v>132</v>
      </c>
      <c r="E185" s="191" t="s">
        <v>1</v>
      </c>
      <c r="F185" s="192" t="s">
        <v>998</v>
      </c>
      <c r="H185" s="193">
        <f>(25.04*0.15)+(32*0.2)+(74.4*0.25)+(25.04*0.3)</f>
        <v>36.268000000000001</v>
      </c>
      <c r="I185" s="82"/>
      <c r="L185" s="158"/>
      <c r="M185" s="194"/>
      <c r="T185" s="195"/>
      <c r="AT185" s="191" t="s">
        <v>132</v>
      </c>
      <c r="AU185" s="191" t="s">
        <v>82</v>
      </c>
      <c r="AV185" s="189" t="s">
        <v>82</v>
      </c>
      <c r="AW185" s="189" t="s">
        <v>30</v>
      </c>
      <c r="AX185" s="189" t="s">
        <v>72</v>
      </c>
      <c r="AY185" s="191" t="s">
        <v>127</v>
      </c>
    </row>
    <row r="186" spans="2:65" s="189" customFormat="1" x14ac:dyDescent="0.2">
      <c r="B186" s="188"/>
      <c r="D186" s="190"/>
      <c r="E186" s="191"/>
      <c r="F186" s="192" t="s">
        <v>1000</v>
      </c>
      <c r="H186" s="193">
        <f>74.4*0.04+99.44*0.05+25.04*0.1</f>
        <v>10.452</v>
      </c>
      <c r="I186" s="82"/>
      <c r="L186" s="158"/>
      <c r="M186" s="194"/>
      <c r="T186" s="195"/>
      <c r="AT186" s="191"/>
      <c r="AU186" s="191"/>
      <c r="AY186" s="191"/>
    </row>
    <row r="187" spans="2:65" s="198" customFormat="1" x14ac:dyDescent="0.2">
      <c r="B187" s="197"/>
      <c r="D187" s="190" t="s">
        <v>132</v>
      </c>
      <c r="E187" s="199" t="s">
        <v>1</v>
      </c>
      <c r="F187" s="200" t="s">
        <v>133</v>
      </c>
      <c r="H187" s="201">
        <f>SUM(H180:H186)</f>
        <v>173.46781052631579</v>
      </c>
      <c r="I187" s="83"/>
      <c r="L187" s="202"/>
      <c r="M187" s="203"/>
      <c r="T187" s="204"/>
      <c r="AT187" s="199" t="s">
        <v>132</v>
      </c>
      <c r="AU187" s="199" t="s">
        <v>82</v>
      </c>
      <c r="AV187" s="198" t="s">
        <v>131</v>
      </c>
      <c r="AW187" s="198" t="s">
        <v>30</v>
      </c>
      <c r="AX187" s="198" t="s">
        <v>80</v>
      </c>
      <c r="AY187" s="199" t="s">
        <v>127</v>
      </c>
    </row>
    <row r="188" spans="2:65" s="99" customFormat="1" ht="33" customHeight="1" x14ac:dyDescent="0.2">
      <c r="B188" s="98"/>
      <c r="C188" s="176">
        <v>17</v>
      </c>
      <c r="D188" s="176" t="s">
        <v>129</v>
      </c>
      <c r="E188" s="177" t="s">
        <v>231</v>
      </c>
      <c r="F188" s="178" t="s">
        <v>232</v>
      </c>
      <c r="G188" s="179" t="s">
        <v>233</v>
      </c>
      <c r="H188" s="180">
        <f>H189</f>
        <v>146.61539999999999</v>
      </c>
      <c r="I188" s="80"/>
      <c r="J188" s="181">
        <f>ROUND(I188*H188,2)</f>
        <v>0</v>
      </c>
      <c r="K188" s="182"/>
      <c r="L188" s="98"/>
      <c r="M188" s="183" t="s">
        <v>1</v>
      </c>
      <c r="N188" s="184" t="s">
        <v>38</v>
      </c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AR188" s="131" t="s">
        <v>131</v>
      </c>
      <c r="AT188" s="131" t="s">
        <v>129</v>
      </c>
      <c r="AU188" s="131" t="s">
        <v>82</v>
      </c>
      <c r="AY188" s="90" t="s">
        <v>127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90" t="s">
        <v>80</v>
      </c>
      <c r="BK188" s="187">
        <f>ROUND(I188*H188,2)</f>
        <v>0</v>
      </c>
      <c r="BL188" s="90" t="s">
        <v>131</v>
      </c>
      <c r="BM188" s="131" t="s">
        <v>639</v>
      </c>
    </row>
    <row r="189" spans="2:65" s="189" customFormat="1" x14ac:dyDescent="0.2">
      <c r="B189" s="188"/>
      <c r="D189" s="190" t="s">
        <v>132</v>
      </c>
      <c r="E189" s="191" t="s">
        <v>1</v>
      </c>
      <c r="F189" s="192" t="s">
        <v>992</v>
      </c>
      <c r="H189" s="193">
        <f>77.166*1.9</f>
        <v>146.61539999999999</v>
      </c>
      <c r="I189" s="82"/>
      <c r="L189" s="188"/>
      <c r="M189" s="194"/>
      <c r="T189" s="195"/>
      <c r="AT189" s="191" t="s">
        <v>132</v>
      </c>
      <c r="AU189" s="191" t="s">
        <v>82</v>
      </c>
      <c r="AV189" s="189" t="s">
        <v>82</v>
      </c>
      <c r="AW189" s="189" t="s">
        <v>30</v>
      </c>
      <c r="AX189" s="189" t="s">
        <v>72</v>
      </c>
      <c r="AY189" s="191" t="s">
        <v>127</v>
      </c>
    </row>
    <row r="190" spans="2:65" s="99" customFormat="1" ht="16.5" customHeight="1" x14ac:dyDescent="0.2">
      <c r="B190" s="98"/>
      <c r="C190" s="176">
        <v>18</v>
      </c>
      <c r="D190" s="176" t="s">
        <v>129</v>
      </c>
      <c r="E190" s="177" t="s">
        <v>235</v>
      </c>
      <c r="F190" s="178" t="s">
        <v>236</v>
      </c>
      <c r="G190" s="179" t="s">
        <v>180</v>
      </c>
      <c r="H190" s="180">
        <f>H191</f>
        <v>6.4</v>
      </c>
      <c r="I190" s="80"/>
      <c r="J190" s="181">
        <f>ROUND(I190*H190,2)</f>
        <v>0</v>
      </c>
      <c r="K190" s="182"/>
      <c r="L190" s="98"/>
      <c r="M190" s="183" t="s">
        <v>1</v>
      </c>
      <c r="N190" s="184" t="s">
        <v>38</v>
      </c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AR190" s="131" t="s">
        <v>131</v>
      </c>
      <c r="AT190" s="131" t="s">
        <v>129</v>
      </c>
      <c r="AU190" s="131" t="s">
        <v>82</v>
      </c>
      <c r="AY190" s="90" t="s">
        <v>127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90" t="s">
        <v>80</v>
      </c>
      <c r="BK190" s="187">
        <f>ROUND(I190*H190,2)</f>
        <v>0</v>
      </c>
      <c r="BL190" s="90" t="s">
        <v>131</v>
      </c>
      <c r="BM190" s="131" t="s">
        <v>640</v>
      </c>
    </row>
    <row r="191" spans="2:65" s="189" customFormat="1" x14ac:dyDescent="0.2">
      <c r="B191" s="188"/>
      <c r="D191" s="190" t="s">
        <v>132</v>
      </c>
      <c r="E191" s="191" t="s">
        <v>1</v>
      </c>
      <c r="F191" s="192" t="s">
        <v>980</v>
      </c>
      <c r="H191" s="193">
        <f>32*0.2</f>
        <v>6.4</v>
      </c>
      <c r="I191" s="82"/>
      <c r="L191" s="158"/>
      <c r="M191" s="194"/>
      <c r="T191" s="195"/>
      <c r="AT191" s="191" t="s">
        <v>132</v>
      </c>
      <c r="AU191" s="191" t="s">
        <v>82</v>
      </c>
      <c r="AV191" s="189" t="s">
        <v>82</v>
      </c>
      <c r="AW191" s="189" t="s">
        <v>30</v>
      </c>
      <c r="AX191" s="189" t="s">
        <v>72</v>
      </c>
      <c r="AY191" s="191" t="s">
        <v>127</v>
      </c>
    </row>
    <row r="192" spans="2:65" s="99" customFormat="1" ht="24.2" customHeight="1" x14ac:dyDescent="0.2">
      <c r="B192" s="98"/>
      <c r="C192" s="176">
        <v>19</v>
      </c>
      <c r="D192" s="176" t="s">
        <v>129</v>
      </c>
      <c r="E192" s="177" t="s">
        <v>238</v>
      </c>
      <c r="F192" s="178" t="s">
        <v>239</v>
      </c>
      <c r="G192" s="179" t="s">
        <v>180</v>
      </c>
      <c r="H192" s="180">
        <f>H195</f>
        <v>111.14960000000002</v>
      </c>
      <c r="I192" s="80"/>
      <c r="J192" s="181">
        <f>ROUND(I192*H192,2)</f>
        <v>0</v>
      </c>
      <c r="K192" s="182"/>
      <c r="L192" s="98"/>
      <c r="M192" s="183" t="s">
        <v>1</v>
      </c>
      <c r="N192" s="184" t="s">
        <v>38</v>
      </c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AR192" s="131" t="s">
        <v>131</v>
      </c>
      <c r="AT192" s="131" t="s">
        <v>129</v>
      </c>
      <c r="AU192" s="131" t="s">
        <v>82</v>
      </c>
      <c r="AY192" s="90" t="s">
        <v>127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90" t="s">
        <v>80</v>
      </c>
      <c r="BK192" s="187">
        <f>ROUND(I192*H192,2)</f>
        <v>0</v>
      </c>
      <c r="BL192" s="90" t="s">
        <v>131</v>
      </c>
      <c r="BM192" s="131" t="s">
        <v>641</v>
      </c>
    </row>
    <row r="193" spans="2:65" s="189" customFormat="1" x14ac:dyDescent="0.2">
      <c r="B193" s="188"/>
      <c r="D193" s="190" t="s">
        <v>132</v>
      </c>
      <c r="E193" s="191" t="s">
        <v>1</v>
      </c>
      <c r="F193" s="192" t="s">
        <v>981</v>
      </c>
      <c r="H193" s="193">
        <f>H159</f>
        <v>154.33120000000002</v>
      </c>
      <c r="I193" s="82"/>
      <c r="L193" s="188"/>
      <c r="M193" s="194"/>
      <c r="T193" s="195"/>
      <c r="AT193" s="191" t="s">
        <v>132</v>
      </c>
      <c r="AU193" s="191" t="s">
        <v>82</v>
      </c>
      <c r="AV193" s="189" t="s">
        <v>82</v>
      </c>
      <c r="AW193" s="189" t="s">
        <v>30</v>
      </c>
      <c r="AX193" s="189" t="s">
        <v>72</v>
      </c>
      <c r="AY193" s="191" t="s">
        <v>127</v>
      </c>
    </row>
    <row r="194" spans="2:65" s="189" customFormat="1" x14ac:dyDescent="0.2">
      <c r="B194" s="188"/>
      <c r="D194" s="190" t="s">
        <v>132</v>
      </c>
      <c r="E194" s="191" t="s">
        <v>1</v>
      </c>
      <c r="F194" s="192" t="s">
        <v>993</v>
      </c>
      <c r="H194" s="193">
        <f xml:space="preserve"> -(0.8*0.35*154.22)</f>
        <v>-43.181599999999996</v>
      </c>
      <c r="I194" s="82"/>
      <c r="L194" s="188"/>
      <c r="M194" s="194"/>
      <c r="T194" s="195"/>
      <c r="AT194" s="191" t="s">
        <v>132</v>
      </c>
      <c r="AU194" s="191" t="s">
        <v>82</v>
      </c>
      <c r="AV194" s="189" t="s">
        <v>82</v>
      </c>
      <c r="AW194" s="189" t="s">
        <v>30</v>
      </c>
      <c r="AX194" s="189" t="s">
        <v>72</v>
      </c>
      <c r="AY194" s="191" t="s">
        <v>127</v>
      </c>
    </row>
    <row r="195" spans="2:65" s="198" customFormat="1" x14ac:dyDescent="0.2">
      <c r="B195" s="197"/>
      <c r="D195" s="190" t="s">
        <v>132</v>
      </c>
      <c r="E195" s="199" t="s">
        <v>1</v>
      </c>
      <c r="F195" s="200" t="s">
        <v>133</v>
      </c>
      <c r="H195" s="201">
        <f>SUM(H193:H194)</f>
        <v>111.14960000000002</v>
      </c>
      <c r="I195" s="83"/>
      <c r="L195" s="197"/>
      <c r="M195" s="203"/>
      <c r="T195" s="204"/>
      <c r="AT195" s="199" t="s">
        <v>132</v>
      </c>
      <c r="AU195" s="199" t="s">
        <v>82</v>
      </c>
      <c r="AV195" s="198" t="s">
        <v>131</v>
      </c>
      <c r="AW195" s="198" t="s">
        <v>30</v>
      </c>
      <c r="AX195" s="198" t="s">
        <v>80</v>
      </c>
      <c r="AY195" s="199" t="s">
        <v>127</v>
      </c>
    </row>
    <row r="196" spans="2:65" s="99" customFormat="1" ht="16.5" customHeight="1" x14ac:dyDescent="0.2">
      <c r="B196" s="98"/>
      <c r="C196" s="214">
        <v>20</v>
      </c>
      <c r="D196" s="214" t="s">
        <v>241</v>
      </c>
      <c r="E196" s="215" t="s">
        <v>242</v>
      </c>
      <c r="F196" s="216" t="s">
        <v>243</v>
      </c>
      <c r="G196" s="217" t="s">
        <v>233</v>
      </c>
      <c r="H196" s="218">
        <f>H199</f>
        <v>80.814599999999999</v>
      </c>
      <c r="I196" s="85"/>
      <c r="J196" s="219">
        <f>ROUND(I196*H196,2)</f>
        <v>0</v>
      </c>
      <c r="K196" s="220"/>
      <c r="L196" s="251"/>
      <c r="M196" s="221" t="s">
        <v>1</v>
      </c>
      <c r="N196" s="222" t="s">
        <v>38</v>
      </c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AR196" s="131" t="s">
        <v>148</v>
      </c>
      <c r="AT196" s="131" t="s">
        <v>241</v>
      </c>
      <c r="AU196" s="131" t="s">
        <v>82</v>
      </c>
      <c r="AY196" s="90" t="s">
        <v>127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90" t="s">
        <v>80</v>
      </c>
      <c r="BK196" s="187">
        <f>ROUND(I196*H196,2)</f>
        <v>0</v>
      </c>
      <c r="BL196" s="90" t="s">
        <v>131</v>
      </c>
      <c r="BM196" s="131" t="s">
        <v>642</v>
      </c>
    </row>
    <row r="197" spans="2:65" s="189" customFormat="1" ht="22.5" x14ac:dyDescent="0.2">
      <c r="B197" s="188"/>
      <c r="D197" s="190" t="s">
        <v>132</v>
      </c>
      <c r="E197" s="191" t="s">
        <v>1</v>
      </c>
      <c r="F197" s="192" t="s">
        <v>994</v>
      </c>
      <c r="H197" s="193">
        <f>77.166*1.9</f>
        <v>146.61539999999999</v>
      </c>
      <c r="I197" s="82"/>
      <c r="L197" s="158"/>
      <c r="M197" s="194"/>
      <c r="T197" s="195"/>
      <c r="AT197" s="191" t="s">
        <v>132</v>
      </c>
      <c r="AU197" s="191" t="s">
        <v>82</v>
      </c>
      <c r="AV197" s="189" t="s">
        <v>82</v>
      </c>
      <c r="AW197" s="189" t="s">
        <v>30</v>
      </c>
      <c r="AX197" s="189" t="s">
        <v>72</v>
      </c>
      <c r="AY197" s="191" t="s">
        <v>127</v>
      </c>
    </row>
    <row r="198" spans="2:65" s="189" customFormat="1" x14ac:dyDescent="0.2">
      <c r="B198" s="188"/>
      <c r="D198" s="190" t="s">
        <v>132</v>
      </c>
      <c r="E198" s="191" t="s">
        <v>1</v>
      </c>
      <c r="F198" s="192" t="s">
        <v>1039</v>
      </c>
      <c r="H198" s="193">
        <f>-115.44*0.3*1.9</f>
        <v>-65.800799999999995</v>
      </c>
      <c r="I198" s="82"/>
      <c r="L198" s="158"/>
      <c r="M198" s="194"/>
      <c r="T198" s="195"/>
      <c r="AT198" s="191" t="s">
        <v>132</v>
      </c>
      <c r="AU198" s="191" t="s">
        <v>82</v>
      </c>
      <c r="AV198" s="189" t="s">
        <v>82</v>
      </c>
      <c r="AW198" s="189" t="s">
        <v>30</v>
      </c>
      <c r="AX198" s="189" t="s">
        <v>72</v>
      </c>
      <c r="AY198" s="191" t="s">
        <v>127</v>
      </c>
    </row>
    <row r="199" spans="2:65" s="198" customFormat="1" x14ac:dyDescent="0.2">
      <c r="B199" s="197"/>
      <c r="D199" s="190" t="s">
        <v>132</v>
      </c>
      <c r="E199" s="199" t="s">
        <v>1</v>
      </c>
      <c r="F199" s="200" t="s">
        <v>133</v>
      </c>
      <c r="H199" s="201">
        <f>SUM(H197:H198)</f>
        <v>80.814599999999999</v>
      </c>
      <c r="I199" s="83"/>
      <c r="L199" s="202"/>
      <c r="M199" s="203"/>
      <c r="T199" s="204"/>
      <c r="AT199" s="199" t="s">
        <v>132</v>
      </c>
      <c r="AU199" s="199" t="s">
        <v>82</v>
      </c>
      <c r="AV199" s="198" t="s">
        <v>131</v>
      </c>
      <c r="AW199" s="198" t="s">
        <v>30</v>
      </c>
      <c r="AX199" s="198" t="s">
        <v>80</v>
      </c>
      <c r="AY199" s="199" t="s">
        <v>127</v>
      </c>
    </row>
    <row r="200" spans="2:65" s="99" customFormat="1" ht="24.2" customHeight="1" x14ac:dyDescent="0.2">
      <c r="B200" s="98"/>
      <c r="C200" s="176">
        <v>21</v>
      </c>
      <c r="D200" s="176" t="s">
        <v>129</v>
      </c>
      <c r="E200" s="177" t="s">
        <v>245</v>
      </c>
      <c r="F200" s="178" t="s">
        <v>246</v>
      </c>
      <c r="G200" s="179" t="s">
        <v>180</v>
      </c>
      <c r="H200" s="180">
        <f>H201</f>
        <v>30.844000000000001</v>
      </c>
      <c r="I200" s="80"/>
      <c r="J200" s="181">
        <f>ROUND(I200*H200,2)</f>
        <v>0</v>
      </c>
      <c r="K200" s="182"/>
      <c r="L200" s="98"/>
      <c r="M200" s="183" t="s">
        <v>1</v>
      </c>
      <c r="N200" s="184" t="s">
        <v>38</v>
      </c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AR200" s="131" t="s">
        <v>131</v>
      </c>
      <c r="AT200" s="131" t="s">
        <v>129</v>
      </c>
      <c r="AU200" s="131" t="s">
        <v>82</v>
      </c>
      <c r="AY200" s="90" t="s">
        <v>127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90" t="s">
        <v>80</v>
      </c>
      <c r="BK200" s="187">
        <f>ROUND(I200*H200,2)</f>
        <v>0</v>
      </c>
      <c r="BL200" s="90" t="s">
        <v>131</v>
      </c>
      <c r="BM200" s="131" t="s">
        <v>643</v>
      </c>
    </row>
    <row r="201" spans="2:65" s="189" customFormat="1" x14ac:dyDescent="0.2">
      <c r="B201" s="188"/>
      <c r="D201" s="190" t="s">
        <v>132</v>
      </c>
      <c r="E201" s="191" t="s">
        <v>1</v>
      </c>
      <c r="F201" s="192" t="s">
        <v>982</v>
      </c>
      <c r="H201" s="193">
        <f>0.8*0.25*154.22</f>
        <v>30.844000000000001</v>
      </c>
      <c r="I201" s="82"/>
      <c r="L201" s="188"/>
      <c r="M201" s="194"/>
      <c r="T201" s="195"/>
      <c r="AT201" s="191" t="s">
        <v>132</v>
      </c>
      <c r="AU201" s="191" t="s">
        <v>82</v>
      </c>
      <c r="AV201" s="189" t="s">
        <v>82</v>
      </c>
      <c r="AW201" s="189" t="s">
        <v>30</v>
      </c>
      <c r="AX201" s="189" t="s">
        <v>72</v>
      </c>
      <c r="AY201" s="191" t="s">
        <v>127</v>
      </c>
    </row>
    <row r="202" spans="2:65" s="99" customFormat="1" ht="16.5" customHeight="1" x14ac:dyDescent="0.2">
      <c r="B202" s="98"/>
      <c r="C202" s="214">
        <v>22</v>
      </c>
      <c r="D202" s="214" t="s">
        <v>241</v>
      </c>
      <c r="E202" s="215" t="s">
        <v>250</v>
      </c>
      <c r="F202" s="216" t="s">
        <v>251</v>
      </c>
      <c r="G202" s="217" t="s">
        <v>233</v>
      </c>
      <c r="H202" s="218">
        <f>H203</f>
        <v>58.6036</v>
      </c>
      <c r="I202" s="85"/>
      <c r="J202" s="219">
        <f>ROUND(I202*H202,2)</f>
        <v>0</v>
      </c>
      <c r="K202" s="220"/>
      <c r="L202" s="251"/>
      <c r="M202" s="221" t="s">
        <v>1</v>
      </c>
      <c r="N202" s="222" t="s">
        <v>38</v>
      </c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AR202" s="131" t="s">
        <v>148</v>
      </c>
      <c r="AT202" s="131" t="s">
        <v>241</v>
      </c>
      <c r="AU202" s="131" t="s">
        <v>82</v>
      </c>
      <c r="AY202" s="90" t="s">
        <v>127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90" t="s">
        <v>80</v>
      </c>
      <c r="BK202" s="187">
        <f>ROUND(I202*H202,2)</f>
        <v>0</v>
      </c>
      <c r="BL202" s="90" t="s">
        <v>131</v>
      </c>
      <c r="BM202" s="131" t="s">
        <v>644</v>
      </c>
    </row>
    <row r="203" spans="2:65" s="189" customFormat="1" x14ac:dyDescent="0.2">
      <c r="B203" s="188"/>
      <c r="D203" s="190" t="s">
        <v>132</v>
      </c>
      <c r="E203" s="191" t="s">
        <v>1</v>
      </c>
      <c r="F203" s="192" t="s">
        <v>983</v>
      </c>
      <c r="H203" s="193">
        <f>H200*1.9</f>
        <v>58.6036</v>
      </c>
      <c r="I203" s="82"/>
      <c r="L203" s="188"/>
      <c r="M203" s="194"/>
      <c r="T203" s="195"/>
      <c r="AT203" s="191" t="s">
        <v>132</v>
      </c>
      <c r="AU203" s="191" t="s">
        <v>82</v>
      </c>
      <c r="AV203" s="189" t="s">
        <v>82</v>
      </c>
      <c r="AW203" s="189" t="s">
        <v>30</v>
      </c>
      <c r="AX203" s="189" t="s">
        <v>72</v>
      </c>
      <c r="AY203" s="191" t="s">
        <v>127</v>
      </c>
    </row>
    <row r="204" spans="2:65" s="99" customFormat="1" ht="24.2" customHeight="1" x14ac:dyDescent="0.2">
      <c r="B204" s="98"/>
      <c r="C204" s="176">
        <v>23</v>
      </c>
      <c r="D204" s="176" t="s">
        <v>129</v>
      </c>
      <c r="E204" s="177" t="s">
        <v>645</v>
      </c>
      <c r="F204" s="178" t="s">
        <v>646</v>
      </c>
      <c r="G204" s="179" t="s">
        <v>130</v>
      </c>
      <c r="H204" s="180">
        <v>32</v>
      </c>
      <c r="I204" s="80"/>
      <c r="J204" s="181">
        <f>ROUND(I204*H204,2)</f>
        <v>0</v>
      </c>
      <c r="K204" s="182"/>
      <c r="L204" s="98"/>
      <c r="M204" s="183" t="s">
        <v>1</v>
      </c>
      <c r="N204" s="184" t="s">
        <v>38</v>
      </c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AR204" s="131" t="s">
        <v>131</v>
      </c>
      <c r="AT204" s="131" t="s">
        <v>129</v>
      </c>
      <c r="AU204" s="131" t="s">
        <v>82</v>
      </c>
      <c r="AY204" s="90" t="s">
        <v>127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90" t="s">
        <v>80</v>
      </c>
      <c r="BK204" s="187">
        <f>ROUND(I204*H204,2)</f>
        <v>0</v>
      </c>
      <c r="BL204" s="90" t="s">
        <v>131</v>
      </c>
      <c r="BM204" s="131" t="s">
        <v>647</v>
      </c>
    </row>
    <row r="205" spans="2:65" s="189" customFormat="1" x14ac:dyDescent="0.2">
      <c r="B205" s="188"/>
      <c r="D205" s="190" t="s">
        <v>132</v>
      </c>
      <c r="E205" s="191" t="s">
        <v>1</v>
      </c>
      <c r="F205" s="192" t="s">
        <v>625</v>
      </c>
      <c r="H205" s="193">
        <v>32</v>
      </c>
      <c r="I205" s="82"/>
      <c r="L205" s="188"/>
      <c r="M205" s="194"/>
      <c r="T205" s="195"/>
      <c r="AT205" s="191" t="s">
        <v>132</v>
      </c>
      <c r="AU205" s="191" t="s">
        <v>82</v>
      </c>
      <c r="AV205" s="189" t="s">
        <v>82</v>
      </c>
      <c r="AW205" s="189" t="s">
        <v>30</v>
      </c>
      <c r="AX205" s="189" t="s">
        <v>72</v>
      </c>
      <c r="AY205" s="191" t="s">
        <v>127</v>
      </c>
    </row>
    <row r="206" spans="2:65" s="99" customFormat="1" ht="24.2" customHeight="1" x14ac:dyDescent="0.2">
      <c r="B206" s="98"/>
      <c r="C206" s="176">
        <v>24</v>
      </c>
      <c r="D206" s="176" t="s">
        <v>129</v>
      </c>
      <c r="E206" s="177" t="s">
        <v>256</v>
      </c>
      <c r="F206" s="178" t="s">
        <v>257</v>
      </c>
      <c r="G206" s="179" t="s">
        <v>130</v>
      </c>
      <c r="H206" s="180">
        <v>32</v>
      </c>
      <c r="I206" s="80"/>
      <c r="J206" s="181">
        <f>ROUND(I206*H206,2)</f>
        <v>0</v>
      </c>
      <c r="K206" s="182"/>
      <c r="L206" s="98"/>
      <c r="M206" s="183" t="s">
        <v>1</v>
      </c>
      <c r="N206" s="184" t="s">
        <v>38</v>
      </c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AR206" s="131" t="s">
        <v>131</v>
      </c>
      <c r="AT206" s="131" t="s">
        <v>129</v>
      </c>
      <c r="AU206" s="131" t="s">
        <v>82</v>
      </c>
      <c r="AY206" s="90" t="s">
        <v>127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90" t="s">
        <v>80</v>
      </c>
      <c r="BK206" s="187">
        <f>ROUND(I206*H206,2)</f>
        <v>0</v>
      </c>
      <c r="BL206" s="90" t="s">
        <v>131</v>
      </c>
      <c r="BM206" s="131" t="s">
        <v>648</v>
      </c>
    </row>
    <row r="207" spans="2:65" s="189" customFormat="1" x14ac:dyDescent="0.2">
      <c r="B207" s="188"/>
      <c r="D207" s="190" t="s">
        <v>132</v>
      </c>
      <c r="E207" s="191" t="s">
        <v>1</v>
      </c>
      <c r="F207" s="192" t="s">
        <v>625</v>
      </c>
      <c r="H207" s="193">
        <v>32</v>
      </c>
      <c r="I207" s="82"/>
      <c r="L207" s="188"/>
      <c r="M207" s="194"/>
      <c r="T207" s="195"/>
      <c r="AT207" s="191" t="s">
        <v>132</v>
      </c>
      <c r="AU207" s="191" t="s">
        <v>82</v>
      </c>
      <c r="AV207" s="189" t="s">
        <v>82</v>
      </c>
      <c r="AW207" s="189" t="s">
        <v>30</v>
      </c>
      <c r="AX207" s="189" t="s">
        <v>72</v>
      </c>
      <c r="AY207" s="191" t="s">
        <v>127</v>
      </c>
    </row>
    <row r="208" spans="2:65" s="99" customFormat="1" ht="16.5" customHeight="1" x14ac:dyDescent="0.2">
      <c r="B208" s="98"/>
      <c r="C208" s="214">
        <v>25</v>
      </c>
      <c r="D208" s="214" t="s">
        <v>241</v>
      </c>
      <c r="E208" s="215" t="s">
        <v>259</v>
      </c>
      <c r="F208" s="216" t="s">
        <v>260</v>
      </c>
      <c r="G208" s="217" t="s">
        <v>261</v>
      </c>
      <c r="H208" s="218">
        <f>H209</f>
        <v>0.48</v>
      </c>
      <c r="I208" s="85"/>
      <c r="J208" s="219">
        <f>ROUND(I208*H208,2)</f>
        <v>0</v>
      </c>
      <c r="K208" s="220"/>
      <c r="L208" s="251"/>
      <c r="M208" s="221" t="s">
        <v>1</v>
      </c>
      <c r="N208" s="222" t="s">
        <v>38</v>
      </c>
      <c r="P208" s="185">
        <f>O208*H208</f>
        <v>0</v>
      </c>
      <c r="Q208" s="185">
        <v>1E-3</v>
      </c>
      <c r="R208" s="185">
        <f>Q208*H208</f>
        <v>4.8000000000000001E-4</v>
      </c>
      <c r="S208" s="185">
        <v>0</v>
      </c>
      <c r="T208" s="186">
        <f>S208*H208</f>
        <v>0</v>
      </c>
      <c r="AR208" s="131" t="s">
        <v>148</v>
      </c>
      <c r="AT208" s="131" t="s">
        <v>241</v>
      </c>
      <c r="AU208" s="131" t="s">
        <v>82</v>
      </c>
      <c r="AY208" s="90" t="s">
        <v>127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90" t="s">
        <v>80</v>
      </c>
      <c r="BK208" s="187">
        <f>ROUND(I208*H208,2)</f>
        <v>0</v>
      </c>
      <c r="BL208" s="90" t="s">
        <v>131</v>
      </c>
      <c r="BM208" s="131" t="s">
        <v>649</v>
      </c>
    </row>
    <row r="209" spans="2:65" s="189" customFormat="1" x14ac:dyDescent="0.2">
      <c r="B209" s="188"/>
      <c r="D209" s="190" t="s">
        <v>132</v>
      </c>
      <c r="F209" s="192" t="s">
        <v>650</v>
      </c>
      <c r="H209" s="193">
        <f>32*0.015</f>
        <v>0.48</v>
      </c>
      <c r="I209" s="82"/>
      <c r="L209" s="188"/>
      <c r="M209" s="194"/>
      <c r="T209" s="195"/>
      <c r="AT209" s="191" t="s">
        <v>132</v>
      </c>
      <c r="AU209" s="191" t="s">
        <v>82</v>
      </c>
      <c r="AV209" s="189" t="s">
        <v>82</v>
      </c>
      <c r="AW209" s="189" t="s">
        <v>3</v>
      </c>
      <c r="AX209" s="189" t="s">
        <v>80</v>
      </c>
      <c r="AY209" s="191" t="s">
        <v>127</v>
      </c>
    </row>
    <row r="210" spans="2:65" s="164" customFormat="1" ht="22.9" customHeight="1" x14ac:dyDescent="0.2">
      <c r="B210" s="163"/>
      <c r="D210" s="165" t="s">
        <v>71</v>
      </c>
      <c r="E210" s="174" t="s">
        <v>131</v>
      </c>
      <c r="F210" s="174" t="s">
        <v>266</v>
      </c>
      <c r="I210" s="79"/>
      <c r="J210" s="175">
        <f>SUM(J211:J215)</f>
        <v>0</v>
      </c>
      <c r="L210" s="163"/>
      <c r="M210" s="169"/>
      <c r="P210" s="170">
        <f>SUM(P211:P216)</f>
        <v>0</v>
      </c>
      <c r="R210" s="170">
        <f>SUM(R211:R216)</f>
        <v>0</v>
      </c>
      <c r="T210" s="171">
        <f>SUM(T211:T216)</f>
        <v>0</v>
      </c>
      <c r="AR210" s="165" t="s">
        <v>80</v>
      </c>
      <c r="AT210" s="172" t="s">
        <v>71</v>
      </c>
      <c r="AU210" s="172" t="s">
        <v>80</v>
      </c>
      <c r="AY210" s="165" t="s">
        <v>127</v>
      </c>
      <c r="BK210" s="173">
        <f>SUM(BK211:BK216)</f>
        <v>0</v>
      </c>
    </row>
    <row r="211" spans="2:65" s="99" customFormat="1" ht="16.5" customHeight="1" x14ac:dyDescent="0.2">
      <c r="B211" s="98"/>
      <c r="C211" s="176">
        <v>26</v>
      </c>
      <c r="D211" s="176" t="s">
        <v>129</v>
      </c>
      <c r="E211" s="177" t="s">
        <v>267</v>
      </c>
      <c r="F211" s="178" t="s">
        <v>268</v>
      </c>
      <c r="G211" s="179" t="s">
        <v>180</v>
      </c>
      <c r="H211" s="180">
        <f>H212</f>
        <v>12.337600000000002</v>
      </c>
      <c r="I211" s="80"/>
      <c r="J211" s="181">
        <f>ROUND(I211*H211,2)</f>
        <v>0</v>
      </c>
      <c r="K211" s="182"/>
      <c r="L211" s="98"/>
      <c r="M211" s="183" t="s">
        <v>1</v>
      </c>
      <c r="N211" s="184" t="s">
        <v>38</v>
      </c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AR211" s="131" t="s">
        <v>131</v>
      </c>
      <c r="AT211" s="131" t="s">
        <v>129</v>
      </c>
      <c r="AU211" s="131" t="s">
        <v>82</v>
      </c>
      <c r="AY211" s="90" t="s">
        <v>127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90" t="s">
        <v>80</v>
      </c>
      <c r="BK211" s="187">
        <f>ROUND(I211*H211,2)</f>
        <v>0</v>
      </c>
      <c r="BL211" s="90" t="s">
        <v>131</v>
      </c>
      <c r="BM211" s="131" t="s">
        <v>651</v>
      </c>
    </row>
    <row r="212" spans="2:65" s="189" customFormat="1" x14ac:dyDescent="0.2">
      <c r="B212" s="188"/>
      <c r="D212" s="190" t="s">
        <v>132</v>
      </c>
      <c r="E212" s="191" t="s">
        <v>1</v>
      </c>
      <c r="F212" s="192" t="s">
        <v>1030</v>
      </c>
      <c r="H212" s="193">
        <f>0.8*0.1*154.22</f>
        <v>12.337600000000002</v>
      </c>
      <c r="I212" s="82"/>
      <c r="L212" s="188"/>
      <c r="M212" s="194"/>
      <c r="T212" s="195"/>
      <c r="AT212" s="191" t="s">
        <v>132</v>
      </c>
      <c r="AU212" s="191" t="s">
        <v>82</v>
      </c>
      <c r="AV212" s="189" t="s">
        <v>82</v>
      </c>
      <c r="AW212" s="189" t="s">
        <v>30</v>
      </c>
      <c r="AX212" s="189" t="s">
        <v>72</v>
      </c>
      <c r="AY212" s="191" t="s">
        <v>127</v>
      </c>
    </row>
    <row r="213" spans="2:65" s="99" customFormat="1" ht="21.75" customHeight="1" x14ac:dyDescent="0.2">
      <c r="B213" s="98"/>
      <c r="C213" s="176">
        <v>27</v>
      </c>
      <c r="D213" s="176" t="s">
        <v>129</v>
      </c>
      <c r="E213" s="224" t="s">
        <v>984</v>
      </c>
      <c r="F213" s="225" t="s">
        <v>985</v>
      </c>
      <c r="G213" s="226" t="s">
        <v>196</v>
      </c>
      <c r="H213" s="227">
        <v>78</v>
      </c>
      <c r="I213" s="80"/>
      <c r="J213" s="181">
        <f>ROUND(I213*H213,2)</f>
        <v>0</v>
      </c>
      <c r="K213" s="182"/>
      <c r="L213" s="98"/>
      <c r="M213" s="183" t="s">
        <v>1</v>
      </c>
      <c r="N213" s="184" t="s">
        <v>38</v>
      </c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AR213" s="131" t="s">
        <v>131</v>
      </c>
      <c r="AT213" s="131" t="s">
        <v>129</v>
      </c>
      <c r="AU213" s="131" t="s">
        <v>82</v>
      </c>
      <c r="AY213" s="90" t="s">
        <v>127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90" t="s">
        <v>80</v>
      </c>
      <c r="BK213" s="187">
        <f>ROUND(I213*H213,2)</f>
        <v>0</v>
      </c>
      <c r="BL213" s="90" t="s">
        <v>131</v>
      </c>
      <c r="BM213" s="131" t="s">
        <v>986</v>
      </c>
    </row>
    <row r="214" spans="2:65" s="198" customFormat="1" x14ac:dyDescent="0.2">
      <c r="B214" s="197"/>
      <c r="D214" s="190"/>
      <c r="E214" s="199"/>
      <c r="F214" s="209" t="s">
        <v>989</v>
      </c>
      <c r="H214" s="201"/>
      <c r="I214" s="83"/>
      <c r="L214" s="197"/>
      <c r="M214" s="203"/>
      <c r="T214" s="204"/>
      <c r="AT214" s="199"/>
      <c r="AU214" s="199"/>
      <c r="AY214" s="199"/>
    </row>
    <row r="215" spans="2:65" s="99" customFormat="1" ht="21.75" customHeight="1" x14ac:dyDescent="0.2">
      <c r="B215" s="98"/>
      <c r="C215" s="176">
        <v>28</v>
      </c>
      <c r="D215" s="176" t="s">
        <v>129</v>
      </c>
      <c r="E215" s="228" t="s">
        <v>987</v>
      </c>
      <c r="F215" s="229" t="s">
        <v>988</v>
      </c>
      <c r="G215" s="226" t="s">
        <v>196</v>
      </c>
      <c r="H215" s="227">
        <v>78</v>
      </c>
      <c r="I215" s="80"/>
      <c r="J215" s="181">
        <f>ROUND(I215*H215,2)</f>
        <v>0</v>
      </c>
      <c r="K215" s="182"/>
      <c r="L215" s="98"/>
      <c r="M215" s="183" t="s">
        <v>1</v>
      </c>
      <c r="N215" s="184" t="s">
        <v>38</v>
      </c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AR215" s="131" t="s">
        <v>131</v>
      </c>
      <c r="AT215" s="131" t="s">
        <v>129</v>
      </c>
      <c r="AU215" s="131" t="s">
        <v>82</v>
      </c>
      <c r="AY215" s="90" t="s">
        <v>127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90" t="s">
        <v>80</v>
      </c>
      <c r="BK215" s="187">
        <f>ROUND(I215*H215,2)</f>
        <v>0</v>
      </c>
      <c r="BL215" s="90" t="s">
        <v>131</v>
      </c>
      <c r="BM215" s="131" t="s">
        <v>986</v>
      </c>
    </row>
    <row r="216" spans="2:65" s="207" customFormat="1" x14ac:dyDescent="0.2">
      <c r="B216" s="206"/>
      <c r="D216" s="190" t="s">
        <v>132</v>
      </c>
      <c r="E216" s="208" t="s">
        <v>1</v>
      </c>
      <c r="F216" s="209" t="s">
        <v>989</v>
      </c>
      <c r="H216" s="208" t="s">
        <v>1</v>
      </c>
      <c r="I216" s="84"/>
      <c r="L216" s="206"/>
      <c r="M216" s="211"/>
      <c r="T216" s="212"/>
      <c r="AT216" s="208" t="s">
        <v>132</v>
      </c>
      <c r="AU216" s="208" t="s">
        <v>82</v>
      </c>
      <c r="AV216" s="207" t="s">
        <v>80</v>
      </c>
      <c r="AW216" s="207" t="s">
        <v>30</v>
      </c>
      <c r="AX216" s="207" t="s">
        <v>72</v>
      </c>
      <c r="AY216" s="208" t="s">
        <v>127</v>
      </c>
    </row>
    <row r="217" spans="2:65" s="164" customFormat="1" ht="22.9" customHeight="1" x14ac:dyDescent="0.2">
      <c r="B217" s="163"/>
      <c r="D217" s="165" t="s">
        <v>71</v>
      </c>
      <c r="E217" s="174" t="s">
        <v>141</v>
      </c>
      <c r="F217" s="174" t="s">
        <v>274</v>
      </c>
      <c r="I217" s="79"/>
      <c r="J217" s="175">
        <f>SUM(J218:J244)</f>
        <v>0</v>
      </c>
      <c r="L217" s="163"/>
      <c r="M217" s="169"/>
      <c r="P217" s="170">
        <f>SUM(P220:P245)</f>
        <v>0</v>
      </c>
      <c r="R217" s="170">
        <f>SUM(R220:R245)</f>
        <v>0</v>
      </c>
      <c r="T217" s="171">
        <f>SUM(T220:T245)</f>
        <v>0</v>
      </c>
      <c r="AR217" s="165" t="s">
        <v>80</v>
      </c>
      <c r="AT217" s="172" t="s">
        <v>71</v>
      </c>
      <c r="AU217" s="172" t="s">
        <v>80</v>
      </c>
      <c r="AY217" s="165" t="s">
        <v>127</v>
      </c>
      <c r="BK217" s="173">
        <f>SUM(BK220:BK245)</f>
        <v>0</v>
      </c>
    </row>
    <row r="218" spans="2:65" s="99" customFormat="1" ht="24.2" customHeight="1" x14ac:dyDescent="0.2">
      <c r="B218" s="98"/>
      <c r="C218" s="176">
        <v>29</v>
      </c>
      <c r="D218" s="176" t="s">
        <v>129</v>
      </c>
      <c r="E218" s="177" t="s">
        <v>275</v>
      </c>
      <c r="F218" s="178" t="s">
        <v>276</v>
      </c>
      <c r="G218" s="179" t="s">
        <v>130</v>
      </c>
      <c r="H218" s="180">
        <f>H219</f>
        <v>25.04</v>
      </c>
      <c r="I218" s="80"/>
      <c r="J218" s="181">
        <f>ROUND(I218*H218,2)</f>
        <v>0</v>
      </c>
      <c r="K218" s="182"/>
      <c r="L218" s="213"/>
      <c r="M218" s="183" t="s">
        <v>1</v>
      </c>
      <c r="N218" s="184" t="s">
        <v>38</v>
      </c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AR218" s="131" t="s">
        <v>131</v>
      </c>
      <c r="AT218" s="131" t="s">
        <v>129</v>
      </c>
      <c r="AU218" s="131" t="s">
        <v>82</v>
      </c>
      <c r="AY218" s="90" t="s">
        <v>127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90" t="s">
        <v>80</v>
      </c>
      <c r="BK218" s="187">
        <f>ROUND(I218*H218,2)</f>
        <v>0</v>
      </c>
      <c r="BL218" s="90" t="s">
        <v>131</v>
      </c>
      <c r="BM218" s="131" t="s">
        <v>277</v>
      </c>
    </row>
    <row r="219" spans="2:65" s="189" customFormat="1" ht="22.5" x14ac:dyDescent="0.2">
      <c r="B219" s="188"/>
      <c r="D219" s="190" t="s">
        <v>132</v>
      </c>
      <c r="E219" s="191" t="s">
        <v>1</v>
      </c>
      <c r="F219" s="192" t="s">
        <v>972</v>
      </c>
      <c r="H219" s="193">
        <f>0.8*(2.4*2+2.2+2.6+2.5+2.1+2.3*3+2.7+2.5*3)</f>
        <v>25.04</v>
      </c>
      <c r="I219" s="82"/>
      <c r="L219" s="158"/>
      <c r="M219" s="194"/>
      <c r="T219" s="195"/>
      <c r="AT219" s="191" t="s">
        <v>132</v>
      </c>
      <c r="AU219" s="191" t="s">
        <v>82</v>
      </c>
      <c r="AV219" s="189" t="s">
        <v>82</v>
      </c>
      <c r="AW219" s="189" t="s">
        <v>30</v>
      </c>
      <c r="AX219" s="189" t="s">
        <v>72</v>
      </c>
      <c r="AY219" s="191" t="s">
        <v>127</v>
      </c>
    </row>
    <row r="220" spans="2:65" s="99" customFormat="1" ht="24.2" customHeight="1" x14ac:dyDescent="0.2">
      <c r="B220" s="98"/>
      <c r="C220" s="176">
        <v>30</v>
      </c>
      <c r="D220" s="176" t="s">
        <v>129</v>
      </c>
      <c r="E220" s="177" t="s">
        <v>652</v>
      </c>
      <c r="F220" s="178" t="s">
        <v>653</v>
      </c>
      <c r="G220" s="179" t="s">
        <v>130</v>
      </c>
      <c r="H220" s="180">
        <f>H221</f>
        <v>16</v>
      </c>
      <c r="I220" s="80"/>
      <c r="J220" s="181">
        <f>ROUND(I220*H220,2)</f>
        <v>0</v>
      </c>
      <c r="K220" s="182"/>
      <c r="L220" s="98"/>
      <c r="M220" s="183" t="s">
        <v>1</v>
      </c>
      <c r="N220" s="184" t="s">
        <v>38</v>
      </c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AR220" s="131" t="s">
        <v>131</v>
      </c>
      <c r="AT220" s="131" t="s">
        <v>129</v>
      </c>
      <c r="AU220" s="131" t="s">
        <v>82</v>
      </c>
      <c r="AY220" s="90" t="s">
        <v>127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90" t="s">
        <v>80</v>
      </c>
      <c r="BK220" s="187">
        <f>ROUND(I220*H220,2)</f>
        <v>0</v>
      </c>
      <c r="BL220" s="90" t="s">
        <v>131</v>
      </c>
      <c r="BM220" s="131" t="s">
        <v>654</v>
      </c>
    </row>
    <row r="221" spans="2:65" s="189" customFormat="1" x14ac:dyDescent="0.2">
      <c r="B221" s="188"/>
      <c r="D221" s="190" t="s">
        <v>132</v>
      </c>
      <c r="E221" s="191" t="s">
        <v>1</v>
      </c>
      <c r="F221" s="192" t="s">
        <v>655</v>
      </c>
      <c r="H221" s="193">
        <f>0.8*20</f>
        <v>16</v>
      </c>
      <c r="I221" s="82"/>
      <c r="L221" s="188"/>
      <c r="M221" s="194"/>
      <c r="T221" s="195"/>
      <c r="AT221" s="191" t="s">
        <v>132</v>
      </c>
      <c r="AU221" s="191" t="s">
        <v>82</v>
      </c>
      <c r="AV221" s="189" t="s">
        <v>82</v>
      </c>
      <c r="AW221" s="189" t="s">
        <v>30</v>
      </c>
      <c r="AX221" s="189" t="s">
        <v>72</v>
      </c>
      <c r="AY221" s="191" t="s">
        <v>127</v>
      </c>
    </row>
    <row r="222" spans="2:65" s="99" customFormat="1" ht="21.75" customHeight="1" x14ac:dyDescent="0.2">
      <c r="B222" s="98"/>
      <c r="C222" s="176">
        <v>31</v>
      </c>
      <c r="D222" s="176" t="s">
        <v>129</v>
      </c>
      <c r="E222" s="177" t="s">
        <v>656</v>
      </c>
      <c r="F222" s="178" t="s">
        <v>657</v>
      </c>
      <c r="G222" s="179" t="s">
        <v>130</v>
      </c>
      <c r="H222" s="180">
        <f>H223</f>
        <v>74.400000000000006</v>
      </c>
      <c r="I222" s="80"/>
      <c r="J222" s="181">
        <f>ROUND(I222*H222,2)</f>
        <v>0</v>
      </c>
      <c r="K222" s="182"/>
      <c r="L222" s="98"/>
      <c r="M222" s="183" t="s">
        <v>1</v>
      </c>
      <c r="N222" s="184" t="s">
        <v>38</v>
      </c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AR222" s="131" t="s">
        <v>131</v>
      </c>
      <c r="AT222" s="131" t="s">
        <v>129</v>
      </c>
      <c r="AU222" s="131" t="s">
        <v>82</v>
      </c>
      <c r="AY222" s="90" t="s">
        <v>127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90" t="s">
        <v>80</v>
      </c>
      <c r="BK222" s="187">
        <f>ROUND(I222*H222,2)</f>
        <v>0</v>
      </c>
      <c r="BL222" s="90" t="s">
        <v>131</v>
      </c>
      <c r="BM222" s="131" t="s">
        <v>658</v>
      </c>
    </row>
    <row r="223" spans="2:65" s="189" customFormat="1" x14ac:dyDescent="0.2">
      <c r="B223" s="188"/>
      <c r="D223" s="190" t="s">
        <v>132</v>
      </c>
      <c r="E223" s="191" t="s">
        <v>1</v>
      </c>
      <c r="F223" s="192" t="s">
        <v>619</v>
      </c>
      <c r="H223" s="193">
        <f>0.8*93</f>
        <v>74.400000000000006</v>
      </c>
      <c r="I223" s="82"/>
      <c r="L223" s="188"/>
      <c r="M223" s="194"/>
      <c r="T223" s="195"/>
      <c r="AT223" s="191" t="s">
        <v>132</v>
      </c>
      <c r="AU223" s="191" t="s">
        <v>82</v>
      </c>
      <c r="AV223" s="189" t="s">
        <v>82</v>
      </c>
      <c r="AW223" s="189" t="s">
        <v>30</v>
      </c>
      <c r="AX223" s="189" t="s">
        <v>72</v>
      </c>
      <c r="AY223" s="191" t="s">
        <v>127</v>
      </c>
    </row>
    <row r="224" spans="2:65" s="99" customFormat="1" ht="24.2" customHeight="1" x14ac:dyDescent="0.2">
      <c r="B224" s="98"/>
      <c r="C224" s="176">
        <v>32</v>
      </c>
      <c r="D224" s="176" t="s">
        <v>129</v>
      </c>
      <c r="E224" s="177" t="s">
        <v>284</v>
      </c>
      <c r="F224" s="178" t="s">
        <v>285</v>
      </c>
      <c r="G224" s="179" t="s">
        <v>130</v>
      </c>
      <c r="H224" s="180">
        <f>H225</f>
        <v>25.04</v>
      </c>
      <c r="I224" s="80"/>
      <c r="J224" s="181">
        <f>ROUND(I224*H224,2)</f>
        <v>0</v>
      </c>
      <c r="K224" s="182"/>
      <c r="L224" s="213"/>
      <c r="M224" s="183" t="s">
        <v>1</v>
      </c>
      <c r="N224" s="184" t="s">
        <v>38</v>
      </c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AR224" s="131" t="s">
        <v>131</v>
      </c>
      <c r="AT224" s="131" t="s">
        <v>129</v>
      </c>
      <c r="AU224" s="131" t="s">
        <v>82</v>
      </c>
      <c r="AY224" s="90" t="s">
        <v>127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90" t="s">
        <v>80</v>
      </c>
      <c r="BK224" s="187">
        <f>ROUND(I224*H224,2)</f>
        <v>0</v>
      </c>
      <c r="BL224" s="90" t="s">
        <v>131</v>
      </c>
      <c r="BM224" s="131" t="s">
        <v>286</v>
      </c>
    </row>
    <row r="225" spans="2:65" s="189" customFormat="1" ht="22.5" x14ac:dyDescent="0.2">
      <c r="B225" s="188"/>
      <c r="D225" s="190" t="s">
        <v>132</v>
      </c>
      <c r="E225" s="191" t="s">
        <v>1</v>
      </c>
      <c r="F225" s="192" t="s">
        <v>972</v>
      </c>
      <c r="H225" s="193">
        <f>0.8*(2.4*2+2.2+2.6+2.5+2.1+2.3*3+2.7+2.5*3)</f>
        <v>25.04</v>
      </c>
      <c r="I225" s="82"/>
      <c r="L225" s="158"/>
      <c r="M225" s="194"/>
      <c r="T225" s="195"/>
      <c r="AT225" s="191" t="s">
        <v>132</v>
      </c>
      <c r="AU225" s="191" t="s">
        <v>82</v>
      </c>
      <c r="AV225" s="189" t="s">
        <v>82</v>
      </c>
      <c r="AW225" s="189" t="s">
        <v>30</v>
      </c>
      <c r="AX225" s="189" t="s">
        <v>72</v>
      </c>
      <c r="AY225" s="191" t="s">
        <v>127</v>
      </c>
    </row>
    <row r="226" spans="2:65" s="99" customFormat="1" ht="16.5" customHeight="1" x14ac:dyDescent="0.2">
      <c r="B226" s="98"/>
      <c r="C226" s="176">
        <v>33</v>
      </c>
      <c r="D226" s="176" t="s">
        <v>129</v>
      </c>
      <c r="E226" s="177"/>
      <c r="F226" s="178" t="s">
        <v>969</v>
      </c>
      <c r="G226" s="179" t="s">
        <v>130</v>
      </c>
      <c r="H226" s="180">
        <f>H228</f>
        <v>74.400000000000006</v>
      </c>
      <c r="I226" s="80"/>
      <c r="J226" s="181">
        <f>ROUND(I226*H226,2)</f>
        <v>0</v>
      </c>
      <c r="K226" s="182"/>
      <c r="L226" s="98"/>
      <c r="M226" s="183" t="s">
        <v>1</v>
      </c>
      <c r="N226" s="184" t="s">
        <v>38</v>
      </c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AR226" s="131" t="s">
        <v>131</v>
      </c>
      <c r="AT226" s="131" t="s">
        <v>129</v>
      </c>
      <c r="AU226" s="131" t="s">
        <v>82</v>
      </c>
      <c r="AY226" s="90" t="s">
        <v>127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90" t="s">
        <v>80</v>
      </c>
      <c r="BK226" s="187">
        <f>ROUND(I226*H226,2)</f>
        <v>0</v>
      </c>
      <c r="BL226" s="90" t="s">
        <v>131</v>
      </c>
      <c r="BM226" s="131" t="s">
        <v>954</v>
      </c>
    </row>
    <row r="227" spans="2:65" s="207" customFormat="1" x14ac:dyDescent="0.2">
      <c r="B227" s="206"/>
      <c r="D227" s="190" t="s">
        <v>132</v>
      </c>
      <c r="E227" s="208" t="s">
        <v>1</v>
      </c>
      <c r="F227" s="209" t="s">
        <v>955</v>
      </c>
      <c r="H227" s="208" t="s">
        <v>1</v>
      </c>
      <c r="I227" s="84"/>
      <c r="L227" s="206"/>
      <c r="M227" s="211"/>
      <c r="T227" s="212"/>
      <c r="AT227" s="208" t="s">
        <v>132</v>
      </c>
      <c r="AU227" s="208" t="s">
        <v>82</v>
      </c>
      <c r="AV227" s="207" t="s">
        <v>80</v>
      </c>
      <c r="AW227" s="207" t="s">
        <v>30</v>
      </c>
      <c r="AX227" s="207" t="s">
        <v>72</v>
      </c>
      <c r="AY227" s="208" t="s">
        <v>127</v>
      </c>
    </row>
    <row r="228" spans="2:65" s="189" customFormat="1" x14ac:dyDescent="0.2">
      <c r="B228" s="188"/>
      <c r="D228" s="190" t="s">
        <v>132</v>
      </c>
      <c r="E228" s="191" t="s">
        <v>1</v>
      </c>
      <c r="F228" s="192" t="s">
        <v>619</v>
      </c>
      <c r="H228" s="193">
        <f>0.8*93</f>
        <v>74.400000000000006</v>
      </c>
      <c r="I228" s="82"/>
      <c r="L228" s="188"/>
      <c r="M228" s="194"/>
      <c r="T228" s="195"/>
      <c r="AT228" s="191" t="s">
        <v>132</v>
      </c>
      <c r="AU228" s="191" t="s">
        <v>82</v>
      </c>
      <c r="AV228" s="189" t="s">
        <v>82</v>
      </c>
      <c r="AW228" s="189" t="s">
        <v>30</v>
      </c>
      <c r="AX228" s="189" t="s">
        <v>72</v>
      </c>
      <c r="AY228" s="191" t="s">
        <v>127</v>
      </c>
    </row>
    <row r="229" spans="2:65" s="99" customFormat="1" ht="16.5" customHeight="1" x14ac:dyDescent="0.2">
      <c r="B229" s="98"/>
      <c r="C229" s="176">
        <v>34</v>
      </c>
      <c r="D229" s="176" t="s">
        <v>129</v>
      </c>
      <c r="E229" s="177"/>
      <c r="F229" s="178" t="s">
        <v>971</v>
      </c>
      <c r="G229" s="179" t="s">
        <v>130</v>
      </c>
      <c r="H229" s="180">
        <f>H231</f>
        <v>25.04</v>
      </c>
      <c r="I229" s="80"/>
      <c r="J229" s="181">
        <f>ROUND(I229*H229,2)</f>
        <v>0</v>
      </c>
      <c r="K229" s="182"/>
      <c r="L229" s="98"/>
      <c r="M229" s="183" t="s">
        <v>1</v>
      </c>
      <c r="N229" s="184" t="s">
        <v>38</v>
      </c>
      <c r="P229" s="185">
        <f>O229*H229</f>
        <v>0</v>
      </c>
      <c r="Q229" s="185">
        <v>0</v>
      </c>
      <c r="R229" s="185">
        <f>Q229*H229</f>
        <v>0</v>
      </c>
      <c r="S229" s="185">
        <v>0</v>
      </c>
      <c r="T229" s="186">
        <f>S229*H229</f>
        <v>0</v>
      </c>
      <c r="AR229" s="131" t="s">
        <v>131</v>
      </c>
      <c r="AT229" s="131" t="s">
        <v>129</v>
      </c>
      <c r="AU229" s="131" t="s">
        <v>82</v>
      </c>
      <c r="AY229" s="90" t="s">
        <v>127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90" t="s">
        <v>80</v>
      </c>
      <c r="BK229" s="187">
        <f>ROUND(I229*H229,2)</f>
        <v>0</v>
      </c>
      <c r="BL229" s="90" t="s">
        <v>131</v>
      </c>
      <c r="BM229" s="131" t="s">
        <v>954</v>
      </c>
    </row>
    <row r="230" spans="2:65" s="207" customFormat="1" x14ac:dyDescent="0.2">
      <c r="B230" s="206"/>
      <c r="D230" s="190" t="s">
        <v>132</v>
      </c>
      <c r="E230" s="208" t="s">
        <v>1</v>
      </c>
      <c r="F230" s="209" t="s">
        <v>955</v>
      </c>
      <c r="H230" s="208" t="s">
        <v>1</v>
      </c>
      <c r="I230" s="84"/>
      <c r="L230" s="206"/>
      <c r="M230" s="211"/>
      <c r="T230" s="212"/>
      <c r="AT230" s="208" t="s">
        <v>132</v>
      </c>
      <c r="AU230" s="208" t="s">
        <v>82</v>
      </c>
      <c r="AV230" s="207" t="s">
        <v>80</v>
      </c>
      <c r="AW230" s="207" t="s">
        <v>30</v>
      </c>
      <c r="AX230" s="207" t="s">
        <v>72</v>
      </c>
      <c r="AY230" s="208" t="s">
        <v>127</v>
      </c>
    </row>
    <row r="231" spans="2:65" s="189" customFormat="1" ht="22.5" x14ac:dyDescent="0.2">
      <c r="B231" s="188"/>
      <c r="D231" s="190" t="s">
        <v>132</v>
      </c>
      <c r="E231" s="191" t="s">
        <v>1</v>
      </c>
      <c r="F231" s="192" t="s">
        <v>972</v>
      </c>
      <c r="H231" s="193">
        <f>0.8*(2.4*2+2.2+2.6+2.5+2.1+2.3*3+2.7+2.5*3)</f>
        <v>25.04</v>
      </c>
      <c r="I231" s="82"/>
      <c r="L231" s="188"/>
      <c r="M231" s="194"/>
      <c r="T231" s="195"/>
      <c r="AT231" s="191" t="s">
        <v>132</v>
      </c>
      <c r="AU231" s="191" t="s">
        <v>82</v>
      </c>
      <c r="AV231" s="189" t="s">
        <v>82</v>
      </c>
      <c r="AW231" s="189" t="s">
        <v>30</v>
      </c>
      <c r="AX231" s="189" t="s">
        <v>72</v>
      </c>
      <c r="AY231" s="191" t="s">
        <v>127</v>
      </c>
    </row>
    <row r="232" spans="2:65" s="99" customFormat="1" ht="24.2" customHeight="1" x14ac:dyDescent="0.2">
      <c r="B232" s="98"/>
      <c r="C232" s="176">
        <v>35</v>
      </c>
      <c r="D232" s="176" t="s">
        <v>129</v>
      </c>
      <c r="E232" s="177" t="s">
        <v>287</v>
      </c>
      <c r="F232" s="178" t="s">
        <v>288</v>
      </c>
      <c r="G232" s="179" t="s">
        <v>130</v>
      </c>
      <c r="H232" s="180">
        <f>H233</f>
        <v>74.400000000000006</v>
      </c>
      <c r="I232" s="80"/>
      <c r="J232" s="181">
        <f>ROUND(I232*H232,2)</f>
        <v>0</v>
      </c>
      <c r="K232" s="182"/>
      <c r="L232" s="98"/>
      <c r="M232" s="183" t="s">
        <v>1</v>
      </c>
      <c r="N232" s="184" t="s">
        <v>38</v>
      </c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AR232" s="131" t="s">
        <v>131</v>
      </c>
      <c r="AT232" s="131" t="s">
        <v>129</v>
      </c>
      <c r="AU232" s="131" t="s">
        <v>82</v>
      </c>
      <c r="AY232" s="90" t="s">
        <v>127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90" t="s">
        <v>80</v>
      </c>
      <c r="BK232" s="187">
        <f>ROUND(I232*H232,2)</f>
        <v>0</v>
      </c>
      <c r="BL232" s="90" t="s">
        <v>131</v>
      </c>
      <c r="BM232" s="131" t="s">
        <v>659</v>
      </c>
    </row>
    <row r="233" spans="2:65" s="189" customFormat="1" x14ac:dyDescent="0.2">
      <c r="B233" s="188"/>
      <c r="D233" s="190" t="s">
        <v>132</v>
      </c>
      <c r="E233" s="191" t="s">
        <v>1</v>
      </c>
      <c r="F233" s="192" t="s">
        <v>619</v>
      </c>
      <c r="H233" s="193">
        <f>0.8*93</f>
        <v>74.400000000000006</v>
      </c>
      <c r="I233" s="82"/>
      <c r="L233" s="188"/>
      <c r="M233" s="194"/>
      <c r="T233" s="195"/>
      <c r="AT233" s="191" t="s">
        <v>132</v>
      </c>
      <c r="AU233" s="191" t="s">
        <v>82</v>
      </c>
      <c r="AV233" s="189" t="s">
        <v>82</v>
      </c>
      <c r="AW233" s="189" t="s">
        <v>30</v>
      </c>
      <c r="AX233" s="189" t="s">
        <v>72</v>
      </c>
      <c r="AY233" s="191" t="s">
        <v>127</v>
      </c>
    </row>
    <row r="234" spans="2:65" s="99" customFormat="1" ht="24.2" customHeight="1" x14ac:dyDescent="0.2">
      <c r="B234" s="98"/>
      <c r="C234" s="176">
        <v>36</v>
      </c>
      <c r="D234" s="176" t="s">
        <v>129</v>
      </c>
      <c r="E234" s="177" t="s">
        <v>291</v>
      </c>
      <c r="F234" s="178" t="s">
        <v>292</v>
      </c>
      <c r="G234" s="179" t="s">
        <v>130</v>
      </c>
      <c r="H234" s="180">
        <f>H237</f>
        <v>99.44</v>
      </c>
      <c r="I234" s="80"/>
      <c r="J234" s="181">
        <f>ROUND(I234*H234,2)</f>
        <v>0</v>
      </c>
      <c r="K234" s="182"/>
      <c r="L234" s="98"/>
      <c r="M234" s="183" t="s">
        <v>1</v>
      </c>
      <c r="N234" s="184" t="s">
        <v>38</v>
      </c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AR234" s="131" t="s">
        <v>131</v>
      </c>
      <c r="AT234" s="131" t="s">
        <v>129</v>
      </c>
      <c r="AU234" s="131" t="s">
        <v>82</v>
      </c>
      <c r="AY234" s="90" t="s">
        <v>127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90" t="s">
        <v>80</v>
      </c>
      <c r="BK234" s="187">
        <f>ROUND(I234*H234,2)</f>
        <v>0</v>
      </c>
      <c r="BL234" s="90" t="s">
        <v>131</v>
      </c>
      <c r="BM234" s="131" t="s">
        <v>660</v>
      </c>
    </row>
    <row r="235" spans="2:65" s="189" customFormat="1" x14ac:dyDescent="0.2">
      <c r="B235" s="188"/>
      <c r="D235" s="190" t="s">
        <v>132</v>
      </c>
      <c r="E235" s="191" t="s">
        <v>1</v>
      </c>
      <c r="F235" s="192" t="s">
        <v>619</v>
      </c>
      <c r="H235" s="193">
        <f>0.8*93</f>
        <v>74.400000000000006</v>
      </c>
      <c r="I235" s="82"/>
      <c r="L235" s="188"/>
      <c r="M235" s="194"/>
      <c r="T235" s="195"/>
      <c r="AT235" s="191" t="s">
        <v>132</v>
      </c>
      <c r="AU235" s="191" t="s">
        <v>82</v>
      </c>
      <c r="AV235" s="189" t="s">
        <v>82</v>
      </c>
      <c r="AW235" s="189" t="s">
        <v>30</v>
      </c>
      <c r="AX235" s="189" t="s">
        <v>72</v>
      </c>
      <c r="AY235" s="191" t="s">
        <v>127</v>
      </c>
    </row>
    <row r="236" spans="2:65" s="189" customFormat="1" ht="22.5" x14ac:dyDescent="0.2">
      <c r="B236" s="188"/>
      <c r="D236" s="190"/>
      <c r="E236" s="191"/>
      <c r="F236" s="192" t="s">
        <v>972</v>
      </c>
      <c r="H236" s="193">
        <f>0.8*(2.4*2+2.2+2.6+2.5+2.1+2.3*3+2.7+2.5*3)</f>
        <v>25.04</v>
      </c>
      <c r="I236" s="82"/>
      <c r="L236" s="188"/>
      <c r="M236" s="194"/>
      <c r="T236" s="195"/>
      <c r="AT236" s="191"/>
      <c r="AU236" s="191"/>
      <c r="AY236" s="191"/>
    </row>
    <row r="237" spans="2:65" s="198" customFormat="1" x14ac:dyDescent="0.2">
      <c r="B237" s="197"/>
      <c r="D237" s="190" t="s">
        <v>132</v>
      </c>
      <c r="E237" s="199" t="s">
        <v>1</v>
      </c>
      <c r="F237" s="200" t="s">
        <v>133</v>
      </c>
      <c r="H237" s="201">
        <f>SUM(H235:H236)</f>
        <v>99.44</v>
      </c>
      <c r="I237" s="83"/>
      <c r="L237" s="202"/>
      <c r="M237" s="203"/>
      <c r="T237" s="204"/>
      <c r="AT237" s="199" t="s">
        <v>132</v>
      </c>
      <c r="AU237" s="199" t="s">
        <v>82</v>
      </c>
      <c r="AV237" s="198" t="s">
        <v>131</v>
      </c>
      <c r="AW237" s="198" t="s">
        <v>30</v>
      </c>
      <c r="AX237" s="198" t="s">
        <v>80</v>
      </c>
      <c r="AY237" s="199" t="s">
        <v>127</v>
      </c>
    </row>
    <row r="238" spans="2:65" s="99" customFormat="1" ht="16.5" customHeight="1" x14ac:dyDescent="0.2">
      <c r="B238" s="98"/>
      <c r="C238" s="176">
        <v>37</v>
      </c>
      <c r="D238" s="176" t="s">
        <v>129</v>
      </c>
      <c r="E238" s="177" t="s">
        <v>294</v>
      </c>
      <c r="F238" s="178" t="s">
        <v>295</v>
      </c>
      <c r="G238" s="179" t="s">
        <v>130</v>
      </c>
      <c r="H238" s="180">
        <v>16</v>
      </c>
      <c r="I238" s="80"/>
      <c r="J238" s="181">
        <f>ROUND(I238*H238,2)</f>
        <v>0</v>
      </c>
      <c r="K238" s="182"/>
      <c r="L238" s="98"/>
      <c r="M238" s="183" t="s">
        <v>1</v>
      </c>
      <c r="N238" s="184" t="s">
        <v>38</v>
      </c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AR238" s="131" t="s">
        <v>131</v>
      </c>
      <c r="AT238" s="131" t="s">
        <v>129</v>
      </c>
      <c r="AU238" s="131" t="s">
        <v>82</v>
      </c>
      <c r="AY238" s="90" t="s">
        <v>127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90" t="s">
        <v>80</v>
      </c>
      <c r="BK238" s="187">
        <f>ROUND(I238*H238,2)</f>
        <v>0</v>
      </c>
      <c r="BL238" s="90" t="s">
        <v>131</v>
      </c>
      <c r="BM238" s="131" t="s">
        <v>661</v>
      </c>
    </row>
    <row r="239" spans="2:65" s="189" customFormat="1" x14ac:dyDescent="0.2">
      <c r="B239" s="188"/>
      <c r="D239" s="190" t="s">
        <v>132</v>
      </c>
      <c r="E239" s="191" t="s">
        <v>1</v>
      </c>
      <c r="F239" s="192" t="s">
        <v>615</v>
      </c>
      <c r="H239" s="193">
        <v>16</v>
      </c>
      <c r="I239" s="82"/>
      <c r="L239" s="188"/>
      <c r="M239" s="194"/>
      <c r="T239" s="195"/>
      <c r="AT239" s="191" t="s">
        <v>132</v>
      </c>
      <c r="AU239" s="191" t="s">
        <v>82</v>
      </c>
      <c r="AV239" s="189" t="s">
        <v>82</v>
      </c>
      <c r="AW239" s="189" t="s">
        <v>30</v>
      </c>
      <c r="AX239" s="189" t="s">
        <v>72</v>
      </c>
      <c r="AY239" s="191" t="s">
        <v>127</v>
      </c>
    </row>
    <row r="240" spans="2:65" s="99" customFormat="1" ht="33" customHeight="1" x14ac:dyDescent="0.2">
      <c r="B240" s="98"/>
      <c r="C240" s="176">
        <v>38</v>
      </c>
      <c r="D240" s="176" t="s">
        <v>129</v>
      </c>
      <c r="E240" s="177" t="s">
        <v>297</v>
      </c>
      <c r="F240" s="178" t="s">
        <v>298</v>
      </c>
      <c r="G240" s="179" t="s">
        <v>130</v>
      </c>
      <c r="H240" s="180">
        <f>H241</f>
        <v>74.400000000000006</v>
      </c>
      <c r="I240" s="80"/>
      <c r="J240" s="181">
        <f>ROUND(I240*H240,2)</f>
        <v>0</v>
      </c>
      <c r="K240" s="182"/>
      <c r="L240" s="98"/>
      <c r="M240" s="183" t="s">
        <v>1</v>
      </c>
      <c r="N240" s="184" t="s">
        <v>38</v>
      </c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AR240" s="131" t="s">
        <v>131</v>
      </c>
      <c r="AT240" s="131" t="s">
        <v>129</v>
      </c>
      <c r="AU240" s="131" t="s">
        <v>82</v>
      </c>
      <c r="AY240" s="90" t="s">
        <v>127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90" t="s">
        <v>80</v>
      </c>
      <c r="BK240" s="187">
        <f>ROUND(I240*H240,2)</f>
        <v>0</v>
      </c>
      <c r="BL240" s="90" t="s">
        <v>131</v>
      </c>
      <c r="BM240" s="131" t="s">
        <v>662</v>
      </c>
    </row>
    <row r="241" spans="2:65" s="189" customFormat="1" x14ac:dyDescent="0.2">
      <c r="B241" s="188"/>
      <c r="D241" s="190" t="s">
        <v>132</v>
      </c>
      <c r="E241" s="191" t="s">
        <v>1</v>
      </c>
      <c r="F241" s="192" t="s">
        <v>619</v>
      </c>
      <c r="H241" s="193">
        <f>0.8*93</f>
        <v>74.400000000000006</v>
      </c>
      <c r="I241" s="82"/>
      <c r="L241" s="188"/>
      <c r="M241" s="194"/>
      <c r="T241" s="195"/>
      <c r="AT241" s="191" t="s">
        <v>132</v>
      </c>
      <c r="AU241" s="191" t="s">
        <v>82</v>
      </c>
      <c r="AV241" s="189" t="s">
        <v>82</v>
      </c>
      <c r="AW241" s="189" t="s">
        <v>30</v>
      </c>
      <c r="AX241" s="189" t="s">
        <v>72</v>
      </c>
      <c r="AY241" s="191" t="s">
        <v>127</v>
      </c>
    </row>
    <row r="242" spans="2:65" s="99" customFormat="1" ht="24.2" customHeight="1" x14ac:dyDescent="0.2">
      <c r="B242" s="98"/>
      <c r="C242" s="176">
        <v>39</v>
      </c>
      <c r="D242" s="176" t="s">
        <v>129</v>
      </c>
      <c r="E242" s="177" t="s">
        <v>303</v>
      </c>
      <c r="F242" s="178" t="s">
        <v>304</v>
      </c>
      <c r="G242" s="179" t="s">
        <v>130</v>
      </c>
      <c r="H242" s="180">
        <f>H243</f>
        <v>25.04</v>
      </c>
      <c r="I242" s="80"/>
      <c r="J242" s="181">
        <f>ROUND(I242*H242,2)</f>
        <v>0</v>
      </c>
      <c r="K242" s="182"/>
      <c r="L242" s="213"/>
      <c r="M242" s="183" t="s">
        <v>1</v>
      </c>
      <c r="N242" s="184" t="s">
        <v>38</v>
      </c>
      <c r="P242" s="185">
        <f>O242*H242</f>
        <v>0</v>
      </c>
      <c r="Q242" s="185">
        <v>0</v>
      </c>
      <c r="R242" s="185">
        <f>Q242*H242</f>
        <v>0</v>
      </c>
      <c r="S242" s="185">
        <v>0</v>
      </c>
      <c r="T242" s="186">
        <f>S242*H242</f>
        <v>0</v>
      </c>
      <c r="AR242" s="131" t="s">
        <v>131</v>
      </c>
      <c r="AT242" s="131" t="s">
        <v>129</v>
      </c>
      <c r="AU242" s="131" t="s">
        <v>82</v>
      </c>
      <c r="AY242" s="90" t="s">
        <v>127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90" t="s">
        <v>80</v>
      </c>
      <c r="BK242" s="187">
        <f>ROUND(I242*H242,2)</f>
        <v>0</v>
      </c>
      <c r="BL242" s="90" t="s">
        <v>131</v>
      </c>
      <c r="BM242" s="131" t="s">
        <v>305</v>
      </c>
    </row>
    <row r="243" spans="2:65" s="189" customFormat="1" ht="22.5" x14ac:dyDescent="0.2">
      <c r="B243" s="188"/>
      <c r="D243" s="190" t="s">
        <v>132</v>
      </c>
      <c r="E243" s="191" t="s">
        <v>1</v>
      </c>
      <c r="F243" s="192" t="s">
        <v>972</v>
      </c>
      <c r="H243" s="193">
        <f>0.8*(2.4*2+2.2+2.6+2.5+2.1+2.3*3+2.7+2.5*3)</f>
        <v>25.04</v>
      </c>
      <c r="I243" s="82"/>
      <c r="L243" s="158"/>
      <c r="M243" s="194"/>
      <c r="T243" s="195"/>
      <c r="AT243" s="191" t="s">
        <v>132</v>
      </c>
      <c r="AU243" s="191" t="s">
        <v>82</v>
      </c>
      <c r="AV243" s="189" t="s">
        <v>82</v>
      </c>
      <c r="AW243" s="189" t="s">
        <v>30</v>
      </c>
      <c r="AX243" s="189" t="s">
        <v>72</v>
      </c>
      <c r="AY243" s="191" t="s">
        <v>127</v>
      </c>
    </row>
    <row r="244" spans="2:65" s="99" customFormat="1" ht="24.2" customHeight="1" x14ac:dyDescent="0.2">
      <c r="B244" s="98"/>
      <c r="C244" s="176">
        <v>40</v>
      </c>
      <c r="D244" s="176" t="s">
        <v>129</v>
      </c>
      <c r="E244" s="177" t="s">
        <v>306</v>
      </c>
      <c r="F244" s="178" t="s">
        <v>990</v>
      </c>
      <c r="G244" s="179" t="s">
        <v>130</v>
      </c>
      <c r="H244" s="180">
        <f>H245</f>
        <v>74.400000000000006</v>
      </c>
      <c r="I244" s="80"/>
      <c r="J244" s="181">
        <f>ROUND(I244*H244,2)</f>
        <v>0</v>
      </c>
      <c r="K244" s="182"/>
      <c r="L244" s="98"/>
      <c r="M244" s="183" t="s">
        <v>1</v>
      </c>
      <c r="N244" s="184" t="s">
        <v>38</v>
      </c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AR244" s="131" t="s">
        <v>131</v>
      </c>
      <c r="AT244" s="131" t="s">
        <v>129</v>
      </c>
      <c r="AU244" s="131" t="s">
        <v>82</v>
      </c>
      <c r="AY244" s="90" t="s">
        <v>127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90" t="s">
        <v>80</v>
      </c>
      <c r="BK244" s="187">
        <f>ROUND(I244*H244,2)</f>
        <v>0</v>
      </c>
      <c r="BL244" s="90" t="s">
        <v>131</v>
      </c>
      <c r="BM244" s="131" t="s">
        <v>663</v>
      </c>
    </row>
    <row r="245" spans="2:65" s="189" customFormat="1" x14ac:dyDescent="0.2">
      <c r="B245" s="188"/>
      <c r="D245" s="190" t="s">
        <v>132</v>
      </c>
      <c r="E245" s="191" t="s">
        <v>1</v>
      </c>
      <c r="F245" s="192" t="s">
        <v>619</v>
      </c>
      <c r="H245" s="193">
        <f>0.8*93</f>
        <v>74.400000000000006</v>
      </c>
      <c r="I245" s="82"/>
      <c r="L245" s="163"/>
      <c r="M245" s="194"/>
      <c r="T245" s="195"/>
      <c r="AT245" s="191" t="s">
        <v>132</v>
      </c>
      <c r="AU245" s="191" t="s">
        <v>82</v>
      </c>
      <c r="AV245" s="189" t="s">
        <v>82</v>
      </c>
      <c r="AW245" s="189" t="s">
        <v>30</v>
      </c>
      <c r="AX245" s="189" t="s">
        <v>72</v>
      </c>
      <c r="AY245" s="191" t="s">
        <v>127</v>
      </c>
    </row>
    <row r="246" spans="2:65" s="164" customFormat="1" ht="22.9" customHeight="1" x14ac:dyDescent="0.2">
      <c r="B246" s="163"/>
      <c r="D246" s="165" t="s">
        <v>71</v>
      </c>
      <c r="E246" s="174" t="s">
        <v>148</v>
      </c>
      <c r="F246" s="174" t="s">
        <v>309</v>
      </c>
      <c r="I246" s="79"/>
      <c r="J246" s="175">
        <f>SUM(J247:J282)</f>
        <v>0</v>
      </c>
      <c r="L246" s="98"/>
      <c r="M246" s="169"/>
      <c r="P246" s="170">
        <f>SUM(P247:P282)</f>
        <v>0</v>
      </c>
      <c r="R246" s="170">
        <f>SUM(R247:R282)</f>
        <v>2.6419079999999999</v>
      </c>
      <c r="T246" s="171">
        <f>SUM(T247:T282)</f>
        <v>0.1716</v>
      </c>
      <c r="AR246" s="165" t="s">
        <v>80</v>
      </c>
      <c r="AT246" s="172" t="s">
        <v>71</v>
      </c>
      <c r="AU246" s="172" t="s">
        <v>80</v>
      </c>
      <c r="AY246" s="165" t="s">
        <v>127</v>
      </c>
      <c r="BK246" s="173">
        <f>SUM(BK247:BK282)</f>
        <v>0</v>
      </c>
    </row>
    <row r="247" spans="2:65" s="99" customFormat="1" ht="33" customHeight="1" x14ac:dyDescent="0.2">
      <c r="B247" s="98"/>
      <c r="C247" s="176">
        <v>41</v>
      </c>
      <c r="D247" s="176" t="s">
        <v>129</v>
      </c>
      <c r="E247" s="177" t="s">
        <v>664</v>
      </c>
      <c r="F247" s="178" t="s">
        <v>665</v>
      </c>
      <c r="G247" s="179" t="s">
        <v>160</v>
      </c>
      <c r="H247" s="180">
        <f>H248</f>
        <v>154.22</v>
      </c>
      <c r="I247" s="80"/>
      <c r="J247" s="181">
        <f>ROUND(I247*H247,2)</f>
        <v>0</v>
      </c>
      <c r="K247" s="182"/>
      <c r="L247" s="98"/>
      <c r="M247" s="183" t="s">
        <v>1</v>
      </c>
      <c r="N247" s="184" t="s">
        <v>38</v>
      </c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AR247" s="131" t="s">
        <v>131</v>
      </c>
      <c r="AT247" s="131" t="s">
        <v>129</v>
      </c>
      <c r="AU247" s="131" t="s">
        <v>82</v>
      </c>
      <c r="AY247" s="90" t="s">
        <v>127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90" t="s">
        <v>80</v>
      </c>
      <c r="BK247" s="187">
        <f>ROUND(I247*H247,2)</f>
        <v>0</v>
      </c>
      <c r="BL247" s="90" t="s">
        <v>131</v>
      </c>
      <c r="BM247" s="131" t="s">
        <v>666</v>
      </c>
    </row>
    <row r="248" spans="2:65" s="189" customFormat="1" x14ac:dyDescent="0.2">
      <c r="B248" s="188"/>
      <c r="D248" s="190" t="s">
        <v>132</v>
      </c>
      <c r="E248" s="191" t="s">
        <v>1</v>
      </c>
      <c r="F248" s="192" t="s">
        <v>1003</v>
      </c>
      <c r="H248" s="193">
        <v>154.22</v>
      </c>
      <c r="I248" s="82"/>
      <c r="L248" s="188"/>
      <c r="M248" s="194"/>
      <c r="T248" s="195"/>
      <c r="AT248" s="191" t="s">
        <v>132</v>
      </c>
      <c r="AU248" s="191" t="s">
        <v>82</v>
      </c>
      <c r="AV248" s="189" t="s">
        <v>82</v>
      </c>
      <c r="AW248" s="189" t="s">
        <v>30</v>
      </c>
      <c r="AX248" s="189" t="s">
        <v>72</v>
      </c>
      <c r="AY248" s="191" t="s">
        <v>127</v>
      </c>
    </row>
    <row r="249" spans="2:65" s="99" customFormat="1" ht="24.2" customHeight="1" x14ac:dyDescent="0.2">
      <c r="B249" s="98"/>
      <c r="C249" s="214">
        <v>42</v>
      </c>
      <c r="D249" s="214" t="s">
        <v>241</v>
      </c>
      <c r="E249" s="215" t="s">
        <v>667</v>
      </c>
      <c r="F249" s="216" t="s">
        <v>668</v>
      </c>
      <c r="G249" s="217" t="s">
        <v>160</v>
      </c>
      <c r="H249" s="218">
        <f>H247</f>
        <v>154.22</v>
      </c>
      <c r="I249" s="85"/>
      <c r="J249" s="219">
        <f>ROUND(I249*H249,2)</f>
        <v>0</v>
      </c>
      <c r="K249" s="220"/>
      <c r="L249" s="251"/>
      <c r="M249" s="221" t="s">
        <v>1</v>
      </c>
      <c r="N249" s="222" t="s">
        <v>38</v>
      </c>
      <c r="P249" s="185">
        <f>O249*H249</f>
        <v>0</v>
      </c>
      <c r="Q249" s="185">
        <v>2.7E-4</v>
      </c>
      <c r="R249" s="185">
        <f>Q249*H249</f>
        <v>4.16394E-2</v>
      </c>
      <c r="S249" s="185">
        <v>0</v>
      </c>
      <c r="T249" s="186">
        <f>S249*H249</f>
        <v>0</v>
      </c>
      <c r="AR249" s="131" t="s">
        <v>148</v>
      </c>
      <c r="AT249" s="131" t="s">
        <v>241</v>
      </c>
      <c r="AU249" s="131" t="s">
        <v>82</v>
      </c>
      <c r="AY249" s="90" t="s">
        <v>127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90" t="s">
        <v>80</v>
      </c>
      <c r="BK249" s="187">
        <f>ROUND(I249*H249,2)</f>
        <v>0</v>
      </c>
      <c r="BL249" s="90" t="s">
        <v>131</v>
      </c>
      <c r="BM249" s="131" t="s">
        <v>669</v>
      </c>
    </row>
    <row r="250" spans="2:65" s="99" customFormat="1" ht="33" customHeight="1" x14ac:dyDescent="0.2">
      <c r="B250" s="98"/>
      <c r="C250" s="176">
        <v>43</v>
      </c>
      <c r="D250" s="176" t="s">
        <v>129</v>
      </c>
      <c r="E250" s="177" t="s">
        <v>670</v>
      </c>
      <c r="F250" s="178" t="s">
        <v>671</v>
      </c>
      <c r="G250" s="179" t="s">
        <v>160</v>
      </c>
      <c r="H250" s="180">
        <v>20</v>
      </c>
      <c r="I250" s="80"/>
      <c r="J250" s="181">
        <f>ROUND(I250*H250,2)</f>
        <v>0</v>
      </c>
      <c r="K250" s="182"/>
      <c r="L250" s="98"/>
      <c r="M250" s="183" t="s">
        <v>1</v>
      </c>
      <c r="N250" s="184" t="s">
        <v>38</v>
      </c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AR250" s="131" t="s">
        <v>131</v>
      </c>
      <c r="AT250" s="131" t="s">
        <v>129</v>
      </c>
      <c r="AU250" s="131" t="s">
        <v>82</v>
      </c>
      <c r="AY250" s="90" t="s">
        <v>127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90" t="s">
        <v>80</v>
      </c>
      <c r="BK250" s="187">
        <f>ROUND(I250*H250,2)</f>
        <v>0</v>
      </c>
      <c r="BL250" s="90" t="s">
        <v>131</v>
      </c>
      <c r="BM250" s="131" t="s">
        <v>672</v>
      </c>
    </row>
    <row r="251" spans="2:65" s="189" customFormat="1" x14ac:dyDescent="0.2">
      <c r="B251" s="188"/>
      <c r="D251" s="190" t="s">
        <v>132</v>
      </c>
      <c r="E251" s="191" t="s">
        <v>1</v>
      </c>
      <c r="F251" s="192" t="s">
        <v>673</v>
      </c>
      <c r="H251" s="193">
        <v>20</v>
      </c>
      <c r="I251" s="82"/>
      <c r="L251" s="188"/>
      <c r="M251" s="194"/>
      <c r="T251" s="195"/>
      <c r="AT251" s="191" t="s">
        <v>132</v>
      </c>
      <c r="AU251" s="191" t="s">
        <v>82</v>
      </c>
      <c r="AV251" s="189" t="s">
        <v>82</v>
      </c>
      <c r="AW251" s="189" t="s">
        <v>30</v>
      </c>
      <c r="AX251" s="189" t="s">
        <v>72</v>
      </c>
      <c r="AY251" s="191" t="s">
        <v>127</v>
      </c>
    </row>
    <row r="252" spans="2:65" s="99" customFormat="1" ht="24.2" customHeight="1" x14ac:dyDescent="0.2">
      <c r="B252" s="98"/>
      <c r="C252" s="214">
        <v>44</v>
      </c>
      <c r="D252" s="214" t="s">
        <v>241</v>
      </c>
      <c r="E252" s="215" t="s">
        <v>674</v>
      </c>
      <c r="F252" s="216" t="s">
        <v>675</v>
      </c>
      <c r="G252" s="217" t="s">
        <v>160</v>
      </c>
      <c r="H252" s="218">
        <f>H250</f>
        <v>20</v>
      </c>
      <c r="I252" s="85"/>
      <c r="J252" s="219">
        <f t="shared" ref="J252:J271" si="0">ROUND(I252*H252,2)</f>
        <v>0</v>
      </c>
      <c r="K252" s="220"/>
      <c r="L252" s="251"/>
      <c r="M252" s="221" t="s">
        <v>1</v>
      </c>
      <c r="N252" s="222" t="s">
        <v>38</v>
      </c>
      <c r="P252" s="185">
        <f t="shared" ref="P252:P262" si="1">O252*H252</f>
        <v>0</v>
      </c>
      <c r="Q252" s="185">
        <v>1.0499999999999999E-3</v>
      </c>
      <c r="R252" s="185">
        <f t="shared" ref="R252:R262" si="2">Q252*H252</f>
        <v>2.0999999999999998E-2</v>
      </c>
      <c r="S252" s="185">
        <v>0</v>
      </c>
      <c r="T252" s="186">
        <f t="shared" ref="T252:T262" si="3">S252*H252</f>
        <v>0</v>
      </c>
      <c r="AR252" s="131" t="s">
        <v>148</v>
      </c>
      <c r="AT252" s="131" t="s">
        <v>241</v>
      </c>
      <c r="AU252" s="131" t="s">
        <v>82</v>
      </c>
      <c r="AY252" s="90" t="s">
        <v>127</v>
      </c>
      <c r="BE252" s="187">
        <f t="shared" ref="BE252:BE262" si="4">IF(N252="základní",J252,0)</f>
        <v>0</v>
      </c>
      <c r="BF252" s="187">
        <f t="shared" ref="BF252:BF262" si="5">IF(N252="snížená",J252,0)</f>
        <v>0</v>
      </c>
      <c r="BG252" s="187">
        <f t="shared" ref="BG252:BG262" si="6">IF(N252="zákl. přenesená",J252,0)</f>
        <v>0</v>
      </c>
      <c r="BH252" s="187">
        <f t="shared" ref="BH252:BH262" si="7">IF(N252="sníž. přenesená",J252,0)</f>
        <v>0</v>
      </c>
      <c r="BI252" s="187">
        <f t="shared" ref="BI252:BI262" si="8">IF(N252="nulová",J252,0)</f>
        <v>0</v>
      </c>
      <c r="BJ252" s="90" t="s">
        <v>80</v>
      </c>
      <c r="BK252" s="187">
        <f t="shared" ref="BK252:BK262" si="9">ROUND(I252*H252,2)</f>
        <v>0</v>
      </c>
      <c r="BL252" s="90" t="s">
        <v>131</v>
      </c>
      <c r="BM252" s="131" t="s">
        <v>676</v>
      </c>
    </row>
    <row r="253" spans="2:65" s="99" customFormat="1" ht="24.2" customHeight="1" x14ac:dyDescent="0.2">
      <c r="B253" s="98"/>
      <c r="C253" s="176">
        <v>45</v>
      </c>
      <c r="D253" s="176" t="s">
        <v>129</v>
      </c>
      <c r="E253" s="177"/>
      <c r="F253" s="178" t="s">
        <v>1014</v>
      </c>
      <c r="G253" s="179" t="s">
        <v>196</v>
      </c>
      <c r="H253" s="180">
        <v>1</v>
      </c>
      <c r="I253" s="80"/>
      <c r="J253" s="181">
        <f t="shared" si="0"/>
        <v>0</v>
      </c>
      <c r="K253" s="182"/>
      <c r="L253" s="98"/>
      <c r="M253" s="183" t="s">
        <v>1</v>
      </c>
      <c r="N253" s="184" t="s">
        <v>38</v>
      </c>
      <c r="P253" s="185">
        <f t="shared" si="1"/>
        <v>0</v>
      </c>
      <c r="Q253" s="185">
        <v>0</v>
      </c>
      <c r="R253" s="185">
        <f t="shared" si="2"/>
        <v>0</v>
      </c>
      <c r="S253" s="185">
        <v>0</v>
      </c>
      <c r="T253" s="186">
        <f t="shared" si="3"/>
        <v>0</v>
      </c>
      <c r="AR253" s="131" t="s">
        <v>131</v>
      </c>
      <c r="AT253" s="131" t="s">
        <v>129</v>
      </c>
      <c r="AU253" s="131" t="s">
        <v>82</v>
      </c>
      <c r="AY253" s="90" t="s">
        <v>127</v>
      </c>
      <c r="BE253" s="187">
        <f t="shared" si="4"/>
        <v>0</v>
      </c>
      <c r="BF253" s="187">
        <f t="shared" si="5"/>
        <v>0</v>
      </c>
      <c r="BG253" s="187">
        <f t="shared" si="6"/>
        <v>0</v>
      </c>
      <c r="BH253" s="187">
        <f t="shared" si="7"/>
        <v>0</v>
      </c>
      <c r="BI253" s="187">
        <f t="shared" si="8"/>
        <v>0</v>
      </c>
      <c r="BJ253" s="90" t="s">
        <v>80</v>
      </c>
      <c r="BK253" s="187">
        <f t="shared" si="9"/>
        <v>0</v>
      </c>
      <c r="BL253" s="90" t="s">
        <v>131</v>
      </c>
      <c r="BM253" s="131" t="s">
        <v>677</v>
      </c>
    </row>
    <row r="254" spans="2:65" s="99" customFormat="1" ht="21.75" customHeight="1" x14ac:dyDescent="0.2">
      <c r="B254" s="98"/>
      <c r="C254" s="214">
        <v>46</v>
      </c>
      <c r="D254" s="214" t="s">
        <v>241</v>
      </c>
      <c r="E254" s="215"/>
      <c r="F254" s="216" t="s">
        <v>1015</v>
      </c>
      <c r="G254" s="217" t="s">
        <v>196</v>
      </c>
      <c r="H254" s="218">
        <v>1</v>
      </c>
      <c r="I254" s="85"/>
      <c r="J254" s="219">
        <f t="shared" si="0"/>
        <v>0</v>
      </c>
      <c r="K254" s="220"/>
      <c r="L254" s="251"/>
      <c r="M254" s="221" t="s">
        <v>1</v>
      </c>
      <c r="N254" s="222" t="s">
        <v>38</v>
      </c>
      <c r="P254" s="185">
        <f t="shared" si="1"/>
        <v>0</v>
      </c>
      <c r="Q254" s="185">
        <v>1.6000000000000001E-4</v>
      </c>
      <c r="R254" s="185">
        <f t="shared" si="2"/>
        <v>1.6000000000000001E-4</v>
      </c>
      <c r="S254" s="185">
        <v>0</v>
      </c>
      <c r="T254" s="186">
        <f t="shared" si="3"/>
        <v>0</v>
      </c>
      <c r="AR254" s="131" t="s">
        <v>148</v>
      </c>
      <c r="AT254" s="131" t="s">
        <v>241</v>
      </c>
      <c r="AU254" s="131" t="s">
        <v>82</v>
      </c>
      <c r="AY254" s="90" t="s">
        <v>127</v>
      </c>
      <c r="BE254" s="187">
        <f t="shared" si="4"/>
        <v>0</v>
      </c>
      <c r="BF254" s="187">
        <f t="shared" si="5"/>
        <v>0</v>
      </c>
      <c r="BG254" s="187">
        <f t="shared" si="6"/>
        <v>0</v>
      </c>
      <c r="BH254" s="187">
        <f t="shared" si="7"/>
        <v>0</v>
      </c>
      <c r="BI254" s="187">
        <f t="shared" si="8"/>
        <v>0</v>
      </c>
      <c r="BJ254" s="90" t="s">
        <v>80</v>
      </c>
      <c r="BK254" s="187">
        <f t="shared" si="9"/>
        <v>0</v>
      </c>
      <c r="BL254" s="90" t="s">
        <v>131</v>
      </c>
      <c r="BM254" s="131" t="s">
        <v>678</v>
      </c>
    </row>
    <row r="255" spans="2:65" s="99" customFormat="1" ht="24.2" customHeight="1" x14ac:dyDescent="0.2">
      <c r="B255" s="98"/>
      <c r="C255" s="176">
        <v>47</v>
      </c>
      <c r="D255" s="176" t="s">
        <v>129</v>
      </c>
      <c r="E255" s="177"/>
      <c r="F255" s="178" t="s">
        <v>1016</v>
      </c>
      <c r="G255" s="179" t="s">
        <v>196</v>
      </c>
      <c r="H255" s="180">
        <f>SUM(H256:H261)</f>
        <v>81</v>
      </c>
      <c r="I255" s="80"/>
      <c r="J255" s="181">
        <f t="shared" si="0"/>
        <v>0</v>
      </c>
      <c r="K255" s="182"/>
      <c r="L255" s="98"/>
      <c r="M255" s="183" t="s">
        <v>1</v>
      </c>
      <c r="N255" s="184" t="s">
        <v>38</v>
      </c>
      <c r="P255" s="185">
        <f t="shared" si="1"/>
        <v>0</v>
      </c>
      <c r="Q255" s="185">
        <v>0</v>
      </c>
      <c r="R255" s="185">
        <f t="shared" si="2"/>
        <v>0</v>
      </c>
      <c r="S255" s="185">
        <v>0</v>
      </c>
      <c r="T255" s="186">
        <f t="shared" si="3"/>
        <v>0</v>
      </c>
      <c r="AR255" s="131" t="s">
        <v>131</v>
      </c>
      <c r="AT255" s="131" t="s">
        <v>129</v>
      </c>
      <c r="AU255" s="131" t="s">
        <v>82</v>
      </c>
      <c r="AY255" s="90" t="s">
        <v>127</v>
      </c>
      <c r="BE255" s="187">
        <f t="shared" si="4"/>
        <v>0</v>
      </c>
      <c r="BF255" s="187">
        <f t="shared" si="5"/>
        <v>0</v>
      </c>
      <c r="BG255" s="187">
        <f t="shared" si="6"/>
        <v>0</v>
      </c>
      <c r="BH255" s="187">
        <f t="shared" si="7"/>
        <v>0</v>
      </c>
      <c r="BI255" s="187">
        <f t="shared" si="8"/>
        <v>0</v>
      </c>
      <c r="BJ255" s="90" t="s">
        <v>80</v>
      </c>
      <c r="BK255" s="187">
        <f t="shared" si="9"/>
        <v>0</v>
      </c>
      <c r="BL255" s="90" t="s">
        <v>131</v>
      </c>
      <c r="BM255" s="131" t="s">
        <v>677</v>
      </c>
    </row>
    <row r="256" spans="2:65" s="99" customFormat="1" ht="21.75" customHeight="1" x14ac:dyDescent="0.2">
      <c r="B256" s="98"/>
      <c r="C256" s="214">
        <v>48</v>
      </c>
      <c r="D256" s="214" t="s">
        <v>241</v>
      </c>
      <c r="E256" s="215"/>
      <c r="F256" s="216" t="s">
        <v>1010</v>
      </c>
      <c r="G256" s="217" t="s">
        <v>196</v>
      </c>
      <c r="H256" s="218">
        <f>77-4-1-1-1</f>
        <v>70</v>
      </c>
      <c r="I256" s="85"/>
      <c r="J256" s="219">
        <f t="shared" si="0"/>
        <v>0</v>
      </c>
      <c r="K256" s="220"/>
      <c r="L256" s="251"/>
      <c r="M256" s="221" t="s">
        <v>1</v>
      </c>
      <c r="N256" s="222" t="s">
        <v>38</v>
      </c>
      <c r="P256" s="185">
        <f t="shared" si="1"/>
        <v>0</v>
      </c>
      <c r="Q256" s="185">
        <v>1.6000000000000001E-4</v>
      </c>
      <c r="R256" s="185">
        <f t="shared" si="2"/>
        <v>1.1200000000000002E-2</v>
      </c>
      <c r="S256" s="185">
        <v>0</v>
      </c>
      <c r="T256" s="186">
        <f t="shared" si="3"/>
        <v>0</v>
      </c>
      <c r="AR256" s="131" t="s">
        <v>148</v>
      </c>
      <c r="AT256" s="131" t="s">
        <v>241</v>
      </c>
      <c r="AU256" s="131" t="s">
        <v>82</v>
      </c>
      <c r="AY256" s="90" t="s">
        <v>127</v>
      </c>
      <c r="BE256" s="187">
        <f t="shared" si="4"/>
        <v>0</v>
      </c>
      <c r="BF256" s="187">
        <f t="shared" si="5"/>
        <v>0</v>
      </c>
      <c r="BG256" s="187">
        <f t="shared" si="6"/>
        <v>0</v>
      </c>
      <c r="BH256" s="187">
        <f t="shared" si="7"/>
        <v>0</v>
      </c>
      <c r="BI256" s="187">
        <f t="shared" si="8"/>
        <v>0</v>
      </c>
      <c r="BJ256" s="90" t="s">
        <v>80</v>
      </c>
      <c r="BK256" s="187">
        <f t="shared" si="9"/>
        <v>0</v>
      </c>
      <c r="BL256" s="90" t="s">
        <v>131</v>
      </c>
      <c r="BM256" s="131" t="s">
        <v>678</v>
      </c>
    </row>
    <row r="257" spans="2:65" s="99" customFormat="1" ht="16.5" customHeight="1" x14ac:dyDescent="0.2">
      <c r="B257" s="98"/>
      <c r="C257" s="214">
        <v>49</v>
      </c>
      <c r="D257" s="214" t="s">
        <v>241</v>
      </c>
      <c r="E257" s="215"/>
      <c r="F257" s="216" t="s">
        <v>1011</v>
      </c>
      <c r="G257" s="217" t="s">
        <v>196</v>
      </c>
      <c r="H257" s="218">
        <v>4</v>
      </c>
      <c r="I257" s="85"/>
      <c r="J257" s="219">
        <f t="shared" si="0"/>
        <v>0</v>
      </c>
      <c r="K257" s="220"/>
      <c r="L257" s="251"/>
      <c r="M257" s="221" t="s">
        <v>1</v>
      </c>
      <c r="N257" s="222" t="s">
        <v>38</v>
      </c>
      <c r="P257" s="185">
        <f t="shared" si="1"/>
        <v>0</v>
      </c>
      <c r="Q257" s="185">
        <v>2.7999999999999998E-4</v>
      </c>
      <c r="R257" s="185">
        <f t="shared" si="2"/>
        <v>1.1199999999999999E-3</v>
      </c>
      <c r="S257" s="185">
        <v>0</v>
      </c>
      <c r="T257" s="186">
        <f t="shared" si="3"/>
        <v>0</v>
      </c>
      <c r="AR257" s="131" t="s">
        <v>148</v>
      </c>
      <c r="AT257" s="131" t="s">
        <v>241</v>
      </c>
      <c r="AU257" s="131" t="s">
        <v>82</v>
      </c>
      <c r="AY257" s="90" t="s">
        <v>127</v>
      </c>
      <c r="BE257" s="187">
        <f t="shared" si="4"/>
        <v>0</v>
      </c>
      <c r="BF257" s="187">
        <f t="shared" si="5"/>
        <v>0</v>
      </c>
      <c r="BG257" s="187">
        <f t="shared" si="6"/>
        <v>0</v>
      </c>
      <c r="BH257" s="187">
        <f t="shared" si="7"/>
        <v>0</v>
      </c>
      <c r="BI257" s="187">
        <f t="shared" si="8"/>
        <v>0</v>
      </c>
      <c r="BJ257" s="90" t="s">
        <v>80</v>
      </c>
      <c r="BK257" s="187">
        <f t="shared" si="9"/>
        <v>0</v>
      </c>
      <c r="BL257" s="90" t="s">
        <v>131</v>
      </c>
      <c r="BM257" s="131" t="s">
        <v>679</v>
      </c>
    </row>
    <row r="258" spans="2:65" s="99" customFormat="1" ht="31.5" customHeight="1" x14ac:dyDescent="0.2">
      <c r="B258" s="98"/>
      <c r="C258" s="214">
        <v>50</v>
      </c>
      <c r="D258" s="214" t="s">
        <v>241</v>
      </c>
      <c r="E258" s="215"/>
      <c r="F258" s="216" t="s">
        <v>1012</v>
      </c>
      <c r="G258" s="217" t="s">
        <v>196</v>
      </c>
      <c r="H258" s="218">
        <v>4</v>
      </c>
      <c r="I258" s="85"/>
      <c r="J258" s="219">
        <f t="shared" si="0"/>
        <v>0</v>
      </c>
      <c r="K258" s="220"/>
      <c r="L258" s="251"/>
      <c r="M258" s="221" t="s">
        <v>1</v>
      </c>
      <c r="N258" s="222" t="s">
        <v>38</v>
      </c>
      <c r="P258" s="185">
        <f t="shared" si="1"/>
        <v>0</v>
      </c>
      <c r="Q258" s="185">
        <v>2.7999999999999998E-4</v>
      </c>
      <c r="R258" s="185">
        <f t="shared" si="2"/>
        <v>1.1199999999999999E-3</v>
      </c>
      <c r="S258" s="185">
        <v>0</v>
      </c>
      <c r="T258" s="186">
        <f t="shared" si="3"/>
        <v>0</v>
      </c>
      <c r="AR258" s="131" t="s">
        <v>148</v>
      </c>
      <c r="AT258" s="131" t="s">
        <v>241</v>
      </c>
      <c r="AU258" s="131" t="s">
        <v>82</v>
      </c>
      <c r="AY258" s="90" t="s">
        <v>127</v>
      </c>
      <c r="BE258" s="187">
        <f t="shared" si="4"/>
        <v>0</v>
      </c>
      <c r="BF258" s="187">
        <f t="shared" si="5"/>
        <v>0</v>
      </c>
      <c r="BG258" s="187">
        <f t="shared" si="6"/>
        <v>0</v>
      </c>
      <c r="BH258" s="187">
        <f t="shared" si="7"/>
        <v>0</v>
      </c>
      <c r="BI258" s="187">
        <f t="shared" si="8"/>
        <v>0</v>
      </c>
      <c r="BJ258" s="90" t="s">
        <v>80</v>
      </c>
      <c r="BK258" s="187">
        <f t="shared" si="9"/>
        <v>0</v>
      </c>
      <c r="BL258" s="90" t="s">
        <v>131</v>
      </c>
      <c r="BM258" s="131" t="s">
        <v>679</v>
      </c>
    </row>
    <row r="259" spans="2:65" s="99" customFormat="1" ht="27" customHeight="1" x14ac:dyDescent="0.2">
      <c r="B259" s="98"/>
      <c r="C259" s="214" t="s">
        <v>290</v>
      </c>
      <c r="D259" s="214" t="s">
        <v>241</v>
      </c>
      <c r="E259" s="215"/>
      <c r="F259" s="216" t="s">
        <v>1060</v>
      </c>
      <c r="G259" s="217" t="s">
        <v>196</v>
      </c>
      <c r="H259" s="218">
        <v>1</v>
      </c>
      <c r="I259" s="85"/>
      <c r="J259" s="219">
        <f t="shared" si="0"/>
        <v>0</v>
      </c>
      <c r="K259" s="220"/>
      <c r="L259" s="251"/>
      <c r="M259" s="221" t="s">
        <v>1</v>
      </c>
      <c r="N259" s="222" t="s">
        <v>38</v>
      </c>
      <c r="P259" s="185">
        <f t="shared" si="1"/>
        <v>0</v>
      </c>
      <c r="Q259" s="185">
        <v>2.7999999999999998E-4</v>
      </c>
      <c r="R259" s="185">
        <f t="shared" si="2"/>
        <v>2.7999999999999998E-4</v>
      </c>
      <c r="S259" s="185">
        <v>0</v>
      </c>
      <c r="T259" s="186">
        <f t="shared" si="3"/>
        <v>0</v>
      </c>
      <c r="AR259" s="131" t="s">
        <v>148</v>
      </c>
      <c r="AT259" s="131" t="s">
        <v>241</v>
      </c>
      <c r="AU259" s="131" t="s">
        <v>82</v>
      </c>
      <c r="AY259" s="90" t="s">
        <v>127</v>
      </c>
      <c r="BE259" s="187">
        <f t="shared" si="4"/>
        <v>0</v>
      </c>
      <c r="BF259" s="187">
        <f t="shared" si="5"/>
        <v>0</v>
      </c>
      <c r="BG259" s="187">
        <f t="shared" si="6"/>
        <v>0</v>
      </c>
      <c r="BH259" s="187">
        <f t="shared" si="7"/>
        <v>0</v>
      </c>
      <c r="BI259" s="187">
        <f t="shared" si="8"/>
        <v>0</v>
      </c>
      <c r="BJ259" s="90" t="s">
        <v>80</v>
      </c>
      <c r="BK259" s="187">
        <f t="shared" si="9"/>
        <v>0</v>
      </c>
      <c r="BL259" s="90" t="s">
        <v>131</v>
      </c>
      <c r="BM259" s="131" t="s">
        <v>679</v>
      </c>
    </row>
    <row r="260" spans="2:65" s="99" customFormat="1" ht="27" customHeight="1" x14ac:dyDescent="0.2">
      <c r="B260" s="98"/>
      <c r="C260" s="214">
        <v>52</v>
      </c>
      <c r="D260" s="214" t="s">
        <v>241</v>
      </c>
      <c r="E260" s="215"/>
      <c r="F260" s="216" t="s">
        <v>1059</v>
      </c>
      <c r="G260" s="217" t="s">
        <v>196</v>
      </c>
      <c r="H260" s="218">
        <v>1</v>
      </c>
      <c r="I260" s="85"/>
      <c r="J260" s="219">
        <f t="shared" si="0"/>
        <v>0</v>
      </c>
      <c r="K260" s="220"/>
      <c r="L260" s="251"/>
      <c r="M260" s="221" t="s">
        <v>1</v>
      </c>
      <c r="N260" s="222" t="s">
        <v>38</v>
      </c>
      <c r="P260" s="185">
        <f t="shared" si="1"/>
        <v>0</v>
      </c>
      <c r="Q260" s="185">
        <v>2.7999999999999998E-4</v>
      </c>
      <c r="R260" s="185">
        <f t="shared" si="2"/>
        <v>2.7999999999999998E-4</v>
      </c>
      <c r="S260" s="185">
        <v>0</v>
      </c>
      <c r="T260" s="186">
        <f t="shared" si="3"/>
        <v>0</v>
      </c>
      <c r="AR260" s="131" t="s">
        <v>148</v>
      </c>
      <c r="AT260" s="131" t="s">
        <v>241</v>
      </c>
      <c r="AU260" s="131" t="s">
        <v>82</v>
      </c>
      <c r="AY260" s="90" t="s">
        <v>127</v>
      </c>
      <c r="BE260" s="187">
        <f t="shared" si="4"/>
        <v>0</v>
      </c>
      <c r="BF260" s="187">
        <f t="shared" si="5"/>
        <v>0</v>
      </c>
      <c r="BG260" s="187">
        <f t="shared" si="6"/>
        <v>0</v>
      </c>
      <c r="BH260" s="187">
        <f t="shared" si="7"/>
        <v>0</v>
      </c>
      <c r="BI260" s="187">
        <f t="shared" si="8"/>
        <v>0</v>
      </c>
      <c r="BJ260" s="90" t="s">
        <v>80</v>
      </c>
      <c r="BK260" s="187">
        <f t="shared" si="9"/>
        <v>0</v>
      </c>
      <c r="BL260" s="90" t="s">
        <v>131</v>
      </c>
      <c r="BM260" s="131" t="s">
        <v>679</v>
      </c>
    </row>
    <row r="261" spans="2:65" s="99" customFormat="1" ht="16.5" customHeight="1" x14ac:dyDescent="0.2">
      <c r="B261" s="98"/>
      <c r="C261" s="214">
        <v>53</v>
      </c>
      <c r="D261" s="214" t="s">
        <v>241</v>
      </c>
      <c r="E261" s="215"/>
      <c r="F261" s="216" t="s">
        <v>1013</v>
      </c>
      <c r="G261" s="217" t="s">
        <v>196</v>
      </c>
      <c r="H261" s="218">
        <v>1</v>
      </c>
      <c r="I261" s="85"/>
      <c r="J261" s="219">
        <f t="shared" si="0"/>
        <v>0</v>
      </c>
      <c r="K261" s="220"/>
      <c r="L261" s="251"/>
      <c r="M261" s="221" t="s">
        <v>1</v>
      </c>
      <c r="N261" s="222" t="s">
        <v>38</v>
      </c>
      <c r="P261" s="185">
        <f t="shared" si="1"/>
        <v>0</v>
      </c>
      <c r="Q261" s="185">
        <v>2.7999999999999998E-4</v>
      </c>
      <c r="R261" s="185">
        <f t="shared" si="2"/>
        <v>2.7999999999999998E-4</v>
      </c>
      <c r="S261" s="185">
        <v>0</v>
      </c>
      <c r="T261" s="186">
        <f t="shared" si="3"/>
        <v>0</v>
      </c>
      <c r="AR261" s="131" t="s">
        <v>148</v>
      </c>
      <c r="AT261" s="131" t="s">
        <v>241</v>
      </c>
      <c r="AU261" s="131" t="s">
        <v>82</v>
      </c>
      <c r="AY261" s="90" t="s">
        <v>127</v>
      </c>
      <c r="BE261" s="187">
        <f t="shared" si="4"/>
        <v>0</v>
      </c>
      <c r="BF261" s="187">
        <f t="shared" si="5"/>
        <v>0</v>
      </c>
      <c r="BG261" s="187">
        <f t="shared" si="6"/>
        <v>0</v>
      </c>
      <c r="BH261" s="187">
        <f t="shared" si="7"/>
        <v>0</v>
      </c>
      <c r="BI261" s="187">
        <f t="shared" si="8"/>
        <v>0</v>
      </c>
      <c r="BJ261" s="90" t="s">
        <v>80</v>
      </c>
      <c r="BK261" s="187">
        <f t="shared" si="9"/>
        <v>0</v>
      </c>
      <c r="BL261" s="90" t="s">
        <v>131</v>
      </c>
      <c r="BM261" s="131" t="s">
        <v>679</v>
      </c>
    </row>
    <row r="262" spans="2:65" s="99" customFormat="1" ht="16.5" customHeight="1" x14ac:dyDescent="0.2">
      <c r="B262" s="98"/>
      <c r="C262" s="214">
        <v>54</v>
      </c>
      <c r="D262" s="214" t="s">
        <v>241</v>
      </c>
      <c r="E262" s="215"/>
      <c r="F262" s="216" t="s">
        <v>1017</v>
      </c>
      <c r="G262" s="217" t="s">
        <v>196</v>
      </c>
      <c r="H262" s="218">
        <f>(H256+H261)*2+H259</f>
        <v>143</v>
      </c>
      <c r="I262" s="85"/>
      <c r="J262" s="219">
        <f t="shared" si="0"/>
        <v>0</v>
      </c>
      <c r="K262" s="220"/>
      <c r="L262" s="251"/>
      <c r="M262" s="221" t="s">
        <v>1</v>
      </c>
      <c r="N262" s="222" t="s">
        <v>38</v>
      </c>
      <c r="P262" s="185">
        <f t="shared" si="1"/>
        <v>0</v>
      </c>
      <c r="Q262" s="185">
        <v>2.7999999999999998E-4</v>
      </c>
      <c r="R262" s="185">
        <f t="shared" si="2"/>
        <v>4.0039999999999999E-2</v>
      </c>
      <c r="S262" s="185">
        <v>0</v>
      </c>
      <c r="T262" s="186">
        <f t="shared" si="3"/>
        <v>0</v>
      </c>
      <c r="AR262" s="131" t="s">
        <v>148</v>
      </c>
      <c r="AT262" s="131" t="s">
        <v>241</v>
      </c>
      <c r="AU262" s="131" t="s">
        <v>82</v>
      </c>
      <c r="AY262" s="90" t="s">
        <v>127</v>
      </c>
      <c r="BE262" s="187">
        <f t="shared" si="4"/>
        <v>0</v>
      </c>
      <c r="BF262" s="187">
        <f t="shared" si="5"/>
        <v>0</v>
      </c>
      <c r="BG262" s="187">
        <f t="shared" si="6"/>
        <v>0</v>
      </c>
      <c r="BH262" s="187">
        <f t="shared" si="7"/>
        <v>0</v>
      </c>
      <c r="BI262" s="187">
        <f t="shared" si="8"/>
        <v>0</v>
      </c>
      <c r="BJ262" s="90" t="s">
        <v>80</v>
      </c>
      <c r="BK262" s="187">
        <f t="shared" si="9"/>
        <v>0</v>
      </c>
      <c r="BL262" s="90" t="s">
        <v>131</v>
      </c>
      <c r="BM262" s="131" t="s">
        <v>679</v>
      </c>
    </row>
    <row r="263" spans="2:65" s="198" customFormat="1" ht="24" x14ac:dyDescent="0.2">
      <c r="B263" s="197"/>
      <c r="C263" s="176">
        <v>55</v>
      </c>
      <c r="D263" s="176" t="s">
        <v>129</v>
      </c>
      <c r="E263" s="177" t="s">
        <v>888</v>
      </c>
      <c r="F263" s="178" t="s">
        <v>889</v>
      </c>
      <c r="G263" s="179" t="s">
        <v>196</v>
      </c>
      <c r="H263" s="180">
        <v>10</v>
      </c>
      <c r="I263" s="85"/>
      <c r="J263" s="219">
        <f t="shared" si="0"/>
        <v>0</v>
      </c>
      <c r="L263" s="202"/>
      <c r="M263" s="203"/>
      <c r="T263" s="204"/>
      <c r="AT263" s="199"/>
      <c r="AU263" s="199"/>
      <c r="AY263" s="199"/>
    </row>
    <row r="264" spans="2:65" s="198" customFormat="1" ht="18.75" customHeight="1" x14ac:dyDescent="0.2">
      <c r="B264" s="197"/>
      <c r="C264" s="214">
        <v>56</v>
      </c>
      <c r="D264" s="214" t="s">
        <v>241</v>
      </c>
      <c r="E264" s="215" t="s">
        <v>890</v>
      </c>
      <c r="F264" s="216" t="s">
        <v>891</v>
      </c>
      <c r="G264" s="217" t="s">
        <v>196</v>
      </c>
      <c r="H264" s="218">
        <v>10</v>
      </c>
      <c r="I264" s="85"/>
      <c r="J264" s="219">
        <f t="shared" si="0"/>
        <v>0</v>
      </c>
      <c r="L264" s="202"/>
      <c r="M264" s="203"/>
      <c r="T264" s="204"/>
      <c r="AT264" s="199"/>
      <c r="AU264" s="199"/>
      <c r="AY264" s="199"/>
    </row>
    <row r="265" spans="2:65" s="99" customFormat="1" ht="24.2" customHeight="1" x14ac:dyDescent="0.2">
      <c r="B265" s="98"/>
      <c r="C265" s="176">
        <v>57</v>
      </c>
      <c r="D265" s="176" t="s">
        <v>129</v>
      </c>
      <c r="E265" s="177" t="s">
        <v>680</v>
      </c>
      <c r="F265" s="178" t="s">
        <v>681</v>
      </c>
      <c r="G265" s="179" t="s">
        <v>196</v>
      </c>
      <c r="H265" s="180">
        <v>1</v>
      </c>
      <c r="I265" s="80"/>
      <c r="J265" s="181">
        <f t="shared" si="0"/>
        <v>0</v>
      </c>
      <c r="K265" s="182"/>
      <c r="L265" s="98"/>
      <c r="M265" s="183" t="s">
        <v>1</v>
      </c>
      <c r="N265" s="184" t="s">
        <v>38</v>
      </c>
      <c r="P265" s="185">
        <f t="shared" ref="P265:P282" si="10">O265*H265</f>
        <v>0</v>
      </c>
      <c r="Q265" s="185">
        <v>0</v>
      </c>
      <c r="R265" s="185">
        <f t="shared" ref="R265:R282" si="11">Q265*H265</f>
        <v>0</v>
      </c>
      <c r="S265" s="185">
        <v>0</v>
      </c>
      <c r="T265" s="186">
        <f t="shared" ref="T265:T282" si="12">S265*H265</f>
        <v>0</v>
      </c>
      <c r="AR265" s="131" t="s">
        <v>131</v>
      </c>
      <c r="AT265" s="131" t="s">
        <v>129</v>
      </c>
      <c r="AU265" s="131" t="s">
        <v>82</v>
      </c>
      <c r="AY265" s="90" t="s">
        <v>127</v>
      </c>
      <c r="BE265" s="187">
        <f t="shared" ref="BE265:BE282" si="13">IF(N265="základní",J265,0)</f>
        <v>0</v>
      </c>
      <c r="BF265" s="187">
        <f t="shared" ref="BF265:BF282" si="14">IF(N265="snížená",J265,0)</f>
        <v>0</v>
      </c>
      <c r="BG265" s="187">
        <f t="shared" ref="BG265:BG282" si="15">IF(N265="zákl. přenesená",J265,0)</f>
        <v>0</v>
      </c>
      <c r="BH265" s="187">
        <f t="shared" ref="BH265:BH282" si="16">IF(N265="sníž. přenesená",J265,0)</f>
        <v>0</v>
      </c>
      <c r="BI265" s="187">
        <f t="shared" ref="BI265:BI282" si="17">IF(N265="nulová",J265,0)</f>
        <v>0</v>
      </c>
      <c r="BJ265" s="90" t="s">
        <v>80</v>
      </c>
      <c r="BK265" s="187">
        <f t="shared" ref="BK265:BK282" si="18">ROUND(I265*H265,2)</f>
        <v>0</v>
      </c>
      <c r="BL265" s="90" t="s">
        <v>131</v>
      </c>
      <c r="BM265" s="131" t="s">
        <v>682</v>
      </c>
    </row>
    <row r="266" spans="2:65" s="99" customFormat="1" ht="16.5" customHeight="1" x14ac:dyDescent="0.2">
      <c r="B266" s="98"/>
      <c r="C266" s="214">
        <v>58</v>
      </c>
      <c r="D266" s="214" t="s">
        <v>241</v>
      </c>
      <c r="E266" s="215" t="s">
        <v>683</v>
      </c>
      <c r="F266" s="216" t="s">
        <v>684</v>
      </c>
      <c r="G266" s="217" t="s">
        <v>196</v>
      </c>
      <c r="H266" s="218">
        <v>1</v>
      </c>
      <c r="I266" s="85"/>
      <c r="J266" s="219">
        <f t="shared" si="0"/>
        <v>0</v>
      </c>
      <c r="K266" s="220"/>
      <c r="L266" s="251"/>
      <c r="M266" s="221" t="s">
        <v>1</v>
      </c>
      <c r="N266" s="222" t="s">
        <v>38</v>
      </c>
      <c r="P266" s="185">
        <f t="shared" si="10"/>
        <v>0</v>
      </c>
      <c r="Q266" s="185">
        <v>1.9000000000000001E-4</v>
      </c>
      <c r="R266" s="185">
        <f t="shared" si="11"/>
        <v>1.9000000000000001E-4</v>
      </c>
      <c r="S266" s="185">
        <v>0</v>
      </c>
      <c r="T266" s="186">
        <f t="shared" si="12"/>
        <v>0</v>
      </c>
      <c r="AR266" s="131" t="s">
        <v>148</v>
      </c>
      <c r="AT266" s="131" t="s">
        <v>241</v>
      </c>
      <c r="AU266" s="131" t="s">
        <v>82</v>
      </c>
      <c r="AY266" s="90" t="s">
        <v>127</v>
      </c>
      <c r="BE266" s="187">
        <f t="shared" si="13"/>
        <v>0</v>
      </c>
      <c r="BF266" s="187">
        <f t="shared" si="14"/>
        <v>0</v>
      </c>
      <c r="BG266" s="187">
        <f t="shared" si="15"/>
        <v>0</v>
      </c>
      <c r="BH266" s="187">
        <f t="shared" si="16"/>
        <v>0</v>
      </c>
      <c r="BI266" s="187">
        <f t="shared" si="17"/>
        <v>0</v>
      </c>
      <c r="BJ266" s="90" t="s">
        <v>80</v>
      </c>
      <c r="BK266" s="187">
        <f t="shared" si="18"/>
        <v>0</v>
      </c>
      <c r="BL266" s="90" t="s">
        <v>131</v>
      </c>
      <c r="BM266" s="131" t="s">
        <v>685</v>
      </c>
    </row>
    <row r="267" spans="2:65" s="99" customFormat="1" ht="21.75" customHeight="1" x14ac:dyDescent="0.2">
      <c r="B267" s="98"/>
      <c r="C267" s="214">
        <v>59</v>
      </c>
      <c r="D267" s="214" t="s">
        <v>241</v>
      </c>
      <c r="E267" s="215" t="s">
        <v>686</v>
      </c>
      <c r="F267" s="216" t="s">
        <v>687</v>
      </c>
      <c r="G267" s="217" t="s">
        <v>196</v>
      </c>
      <c r="H267" s="218">
        <v>1</v>
      </c>
      <c r="I267" s="85"/>
      <c r="J267" s="219">
        <f t="shared" si="0"/>
        <v>0</v>
      </c>
      <c r="K267" s="220"/>
      <c r="L267" s="251"/>
      <c r="M267" s="221" t="s">
        <v>1</v>
      </c>
      <c r="N267" s="222" t="s">
        <v>38</v>
      </c>
      <c r="P267" s="185">
        <f t="shared" si="10"/>
        <v>0</v>
      </c>
      <c r="Q267" s="185">
        <v>2.2000000000000001E-3</v>
      </c>
      <c r="R267" s="185">
        <f t="shared" si="11"/>
        <v>2.2000000000000001E-3</v>
      </c>
      <c r="S267" s="185">
        <v>0</v>
      </c>
      <c r="T267" s="186">
        <f t="shared" si="12"/>
        <v>0</v>
      </c>
      <c r="AR267" s="131" t="s">
        <v>148</v>
      </c>
      <c r="AT267" s="131" t="s">
        <v>241</v>
      </c>
      <c r="AU267" s="131" t="s">
        <v>82</v>
      </c>
      <c r="AY267" s="90" t="s">
        <v>127</v>
      </c>
      <c r="BE267" s="187">
        <f t="shared" si="13"/>
        <v>0</v>
      </c>
      <c r="BF267" s="187">
        <f t="shared" si="14"/>
        <v>0</v>
      </c>
      <c r="BG267" s="187">
        <f t="shared" si="15"/>
        <v>0</v>
      </c>
      <c r="BH267" s="187">
        <f t="shared" si="16"/>
        <v>0</v>
      </c>
      <c r="BI267" s="187">
        <f t="shared" si="17"/>
        <v>0</v>
      </c>
      <c r="BJ267" s="90" t="s">
        <v>80</v>
      </c>
      <c r="BK267" s="187">
        <f t="shared" si="18"/>
        <v>0</v>
      </c>
      <c r="BL267" s="90" t="s">
        <v>131</v>
      </c>
      <c r="BM267" s="131" t="s">
        <v>688</v>
      </c>
    </row>
    <row r="268" spans="2:65" s="99" customFormat="1" ht="24.2" customHeight="1" x14ac:dyDescent="0.2">
      <c r="B268" s="98"/>
      <c r="C268" s="176">
        <v>60</v>
      </c>
      <c r="D268" s="176" t="s">
        <v>129</v>
      </c>
      <c r="E268" s="177" t="s">
        <v>689</v>
      </c>
      <c r="F268" s="178" t="s">
        <v>690</v>
      </c>
      <c r="G268" s="179" t="s">
        <v>196</v>
      </c>
      <c r="H268" s="180">
        <v>77</v>
      </c>
      <c r="I268" s="80"/>
      <c r="J268" s="181">
        <f t="shared" si="0"/>
        <v>0</v>
      </c>
      <c r="K268" s="182"/>
      <c r="L268" s="98"/>
      <c r="M268" s="183" t="s">
        <v>1</v>
      </c>
      <c r="N268" s="184" t="s">
        <v>38</v>
      </c>
      <c r="P268" s="185">
        <f t="shared" si="10"/>
        <v>0</v>
      </c>
      <c r="Q268" s="185">
        <v>1.6000000000000001E-4</v>
      </c>
      <c r="R268" s="185">
        <f t="shared" si="11"/>
        <v>1.2320000000000001E-2</v>
      </c>
      <c r="S268" s="185">
        <v>0</v>
      </c>
      <c r="T268" s="186">
        <f t="shared" si="12"/>
        <v>0</v>
      </c>
      <c r="AR268" s="131" t="s">
        <v>131</v>
      </c>
      <c r="AT268" s="131" t="s">
        <v>129</v>
      </c>
      <c r="AU268" s="131" t="s">
        <v>82</v>
      </c>
      <c r="AY268" s="90" t="s">
        <v>127</v>
      </c>
      <c r="BE268" s="187">
        <f t="shared" si="13"/>
        <v>0</v>
      </c>
      <c r="BF268" s="187">
        <f t="shared" si="14"/>
        <v>0</v>
      </c>
      <c r="BG268" s="187">
        <f t="shared" si="15"/>
        <v>0</v>
      </c>
      <c r="BH268" s="187">
        <f t="shared" si="16"/>
        <v>0</v>
      </c>
      <c r="BI268" s="187">
        <f t="shared" si="17"/>
        <v>0</v>
      </c>
      <c r="BJ268" s="90" t="s">
        <v>80</v>
      </c>
      <c r="BK268" s="187">
        <f t="shared" si="18"/>
        <v>0</v>
      </c>
      <c r="BL268" s="90" t="s">
        <v>131</v>
      </c>
      <c r="BM268" s="131" t="s">
        <v>691</v>
      </c>
    </row>
    <row r="269" spans="2:65" s="99" customFormat="1" ht="24.2" customHeight="1" x14ac:dyDescent="0.2">
      <c r="B269" s="98"/>
      <c r="C269" s="214">
        <v>61</v>
      </c>
      <c r="D269" s="214" t="s">
        <v>241</v>
      </c>
      <c r="E269" s="215" t="s">
        <v>692</v>
      </c>
      <c r="F269" s="247" t="s">
        <v>1004</v>
      </c>
      <c r="G269" s="217" t="s">
        <v>196</v>
      </c>
      <c r="H269" s="218">
        <v>77</v>
      </c>
      <c r="I269" s="85"/>
      <c r="J269" s="219">
        <f t="shared" si="0"/>
        <v>0</v>
      </c>
      <c r="K269" s="220"/>
      <c r="L269" s="251"/>
      <c r="M269" s="221" t="s">
        <v>1</v>
      </c>
      <c r="N269" s="222" t="s">
        <v>38</v>
      </c>
      <c r="P269" s="185">
        <f t="shared" si="10"/>
        <v>0</v>
      </c>
      <c r="Q269" s="185">
        <v>2.5999999999999999E-3</v>
      </c>
      <c r="R269" s="185">
        <f t="shared" si="11"/>
        <v>0.20019999999999999</v>
      </c>
      <c r="S269" s="185">
        <v>0</v>
      </c>
      <c r="T269" s="186">
        <f t="shared" si="12"/>
        <v>0</v>
      </c>
      <c r="AR269" s="131" t="s">
        <v>148</v>
      </c>
      <c r="AT269" s="131" t="s">
        <v>241</v>
      </c>
      <c r="AU269" s="131" t="s">
        <v>82</v>
      </c>
      <c r="AY269" s="90" t="s">
        <v>127</v>
      </c>
      <c r="BE269" s="187">
        <f t="shared" si="13"/>
        <v>0</v>
      </c>
      <c r="BF269" s="187">
        <f t="shared" si="14"/>
        <v>0</v>
      </c>
      <c r="BG269" s="187">
        <f t="shared" si="15"/>
        <v>0</v>
      </c>
      <c r="BH269" s="187">
        <f t="shared" si="16"/>
        <v>0</v>
      </c>
      <c r="BI269" s="187">
        <f t="shared" si="17"/>
        <v>0</v>
      </c>
      <c r="BJ269" s="90" t="s">
        <v>80</v>
      </c>
      <c r="BK269" s="187">
        <f t="shared" si="18"/>
        <v>0</v>
      </c>
      <c r="BL269" s="90" t="s">
        <v>131</v>
      </c>
      <c r="BM269" s="131" t="s">
        <v>693</v>
      </c>
    </row>
    <row r="270" spans="2:65" s="99" customFormat="1" ht="27" customHeight="1" x14ac:dyDescent="0.2">
      <c r="B270" s="98"/>
      <c r="C270" s="214">
        <v>62</v>
      </c>
      <c r="D270" s="214" t="s">
        <v>241</v>
      </c>
      <c r="E270" s="215" t="s">
        <v>1018</v>
      </c>
      <c r="F270" s="247" t="s">
        <v>1025</v>
      </c>
      <c r="G270" s="217" t="s">
        <v>196</v>
      </c>
      <c r="H270" s="218">
        <v>77</v>
      </c>
      <c r="I270" s="80"/>
      <c r="J270" s="181">
        <f t="shared" si="0"/>
        <v>0</v>
      </c>
      <c r="K270" s="220"/>
      <c r="L270" s="251"/>
      <c r="M270" s="221" t="s">
        <v>1</v>
      </c>
      <c r="N270" s="222" t="s">
        <v>38</v>
      </c>
      <c r="P270" s="185">
        <f t="shared" si="10"/>
        <v>0</v>
      </c>
      <c r="Q270" s="185">
        <v>3.5000000000000001E-3</v>
      </c>
      <c r="R270" s="185">
        <f t="shared" si="11"/>
        <v>0.26950000000000002</v>
      </c>
      <c r="S270" s="185">
        <v>0</v>
      </c>
      <c r="T270" s="186">
        <f t="shared" si="12"/>
        <v>0</v>
      </c>
      <c r="AR270" s="131" t="s">
        <v>148</v>
      </c>
      <c r="AT270" s="131" t="s">
        <v>241</v>
      </c>
      <c r="AU270" s="131" t="s">
        <v>82</v>
      </c>
      <c r="AY270" s="90" t="s">
        <v>127</v>
      </c>
      <c r="BE270" s="187">
        <f t="shared" si="13"/>
        <v>0</v>
      </c>
      <c r="BF270" s="187">
        <f t="shared" si="14"/>
        <v>0</v>
      </c>
      <c r="BG270" s="187">
        <f t="shared" si="15"/>
        <v>0</v>
      </c>
      <c r="BH270" s="187">
        <f t="shared" si="16"/>
        <v>0</v>
      </c>
      <c r="BI270" s="187">
        <f t="shared" si="17"/>
        <v>0</v>
      </c>
      <c r="BJ270" s="90" t="s">
        <v>80</v>
      </c>
      <c r="BK270" s="187">
        <f t="shared" si="18"/>
        <v>0</v>
      </c>
      <c r="BL270" s="90" t="s">
        <v>131</v>
      </c>
      <c r="BM270" s="131" t="s">
        <v>1019</v>
      </c>
    </row>
    <row r="271" spans="2:65" s="99" customFormat="1" ht="21.75" customHeight="1" x14ac:dyDescent="0.2">
      <c r="B271" s="98"/>
      <c r="C271" s="176">
        <v>63</v>
      </c>
      <c r="D271" s="176" t="s">
        <v>129</v>
      </c>
      <c r="E271" s="177" t="s">
        <v>694</v>
      </c>
      <c r="F271" s="178" t="s">
        <v>695</v>
      </c>
      <c r="G271" s="179" t="s">
        <v>196</v>
      </c>
      <c r="H271" s="180">
        <v>78</v>
      </c>
      <c r="I271" s="80"/>
      <c r="J271" s="181">
        <f t="shared" si="0"/>
        <v>0</v>
      </c>
      <c r="K271" s="182"/>
      <c r="L271" s="98"/>
      <c r="M271" s="183" t="s">
        <v>1</v>
      </c>
      <c r="N271" s="184" t="s">
        <v>38</v>
      </c>
      <c r="P271" s="185">
        <f t="shared" si="10"/>
        <v>0</v>
      </c>
      <c r="Q271" s="185">
        <v>0</v>
      </c>
      <c r="R271" s="185">
        <f t="shared" si="11"/>
        <v>0</v>
      </c>
      <c r="S271" s="185">
        <v>2.2000000000000001E-3</v>
      </c>
      <c r="T271" s="186">
        <f t="shared" si="12"/>
        <v>0.1716</v>
      </c>
      <c r="AR271" s="131" t="s">
        <v>131</v>
      </c>
      <c r="AT271" s="131" t="s">
        <v>129</v>
      </c>
      <c r="AU271" s="131" t="s">
        <v>82</v>
      </c>
      <c r="AY271" s="90" t="s">
        <v>127</v>
      </c>
      <c r="BE271" s="187">
        <f t="shared" si="13"/>
        <v>0</v>
      </c>
      <c r="BF271" s="187">
        <f t="shared" si="14"/>
        <v>0</v>
      </c>
      <c r="BG271" s="187">
        <f t="shared" si="15"/>
        <v>0</v>
      </c>
      <c r="BH271" s="187">
        <f t="shared" si="16"/>
        <v>0</v>
      </c>
      <c r="BI271" s="187">
        <f t="shared" si="17"/>
        <v>0</v>
      </c>
      <c r="BJ271" s="90" t="s">
        <v>80</v>
      </c>
      <c r="BK271" s="187">
        <f t="shared" si="18"/>
        <v>0</v>
      </c>
      <c r="BL271" s="90" t="s">
        <v>131</v>
      </c>
      <c r="BM271" s="131" t="s">
        <v>696</v>
      </c>
    </row>
    <row r="272" spans="2:65" s="99" customFormat="1" ht="21.75" customHeight="1" x14ac:dyDescent="0.2">
      <c r="B272" s="98"/>
      <c r="C272" s="176">
        <v>64</v>
      </c>
      <c r="D272" s="176" t="s">
        <v>129</v>
      </c>
      <c r="E272" s="177" t="s">
        <v>1020</v>
      </c>
      <c r="F272" s="178" t="s">
        <v>1021</v>
      </c>
      <c r="G272" s="179" t="s">
        <v>196</v>
      </c>
      <c r="H272" s="180">
        <v>1</v>
      </c>
      <c r="I272" s="80"/>
      <c r="J272" s="181">
        <f t="shared" ref="J272:J274" si="19">ROUND(I272*H272,2)</f>
        <v>0</v>
      </c>
      <c r="K272" s="182"/>
      <c r="L272" s="98"/>
      <c r="M272" s="183" t="s">
        <v>1</v>
      </c>
      <c r="N272" s="184" t="s">
        <v>38</v>
      </c>
      <c r="P272" s="185">
        <f t="shared" si="10"/>
        <v>0</v>
      </c>
      <c r="Q272" s="185">
        <v>7.2000000000000005E-4</v>
      </c>
      <c r="R272" s="185">
        <f t="shared" si="11"/>
        <v>7.2000000000000005E-4</v>
      </c>
      <c r="S272" s="185">
        <v>0</v>
      </c>
      <c r="T272" s="186">
        <f t="shared" si="12"/>
        <v>0</v>
      </c>
      <c r="AR272" s="131" t="s">
        <v>131</v>
      </c>
      <c r="AT272" s="131" t="s">
        <v>129</v>
      </c>
      <c r="AU272" s="131" t="s">
        <v>82</v>
      </c>
      <c r="AY272" s="90" t="s">
        <v>127</v>
      </c>
      <c r="BE272" s="187">
        <f t="shared" si="13"/>
        <v>0</v>
      </c>
      <c r="BF272" s="187">
        <f t="shared" si="14"/>
        <v>0</v>
      </c>
      <c r="BG272" s="187">
        <f t="shared" si="15"/>
        <v>0</v>
      </c>
      <c r="BH272" s="187">
        <f t="shared" si="16"/>
        <v>0</v>
      </c>
      <c r="BI272" s="187">
        <f t="shared" si="17"/>
        <v>0</v>
      </c>
      <c r="BJ272" s="90" t="s">
        <v>80</v>
      </c>
      <c r="BK272" s="187">
        <f t="shared" si="18"/>
        <v>0</v>
      </c>
      <c r="BL272" s="90" t="s">
        <v>131</v>
      </c>
      <c r="BM272" s="131" t="s">
        <v>1022</v>
      </c>
    </row>
    <row r="273" spans="2:65" s="99" customFormat="1" ht="28.5" customHeight="1" x14ac:dyDescent="0.2">
      <c r="B273" s="98"/>
      <c r="C273" s="214">
        <v>65</v>
      </c>
      <c r="D273" s="214" t="s">
        <v>241</v>
      </c>
      <c r="E273" s="215" t="s">
        <v>1023</v>
      </c>
      <c r="F273" s="247" t="s">
        <v>1026</v>
      </c>
      <c r="G273" s="217" t="s">
        <v>196</v>
      </c>
      <c r="H273" s="218">
        <v>1</v>
      </c>
      <c r="I273" s="80"/>
      <c r="J273" s="181">
        <f t="shared" si="19"/>
        <v>0</v>
      </c>
      <c r="K273" s="220"/>
      <c r="L273" s="251"/>
      <c r="M273" s="221" t="s">
        <v>1</v>
      </c>
      <c r="N273" s="222" t="s">
        <v>38</v>
      </c>
      <c r="P273" s="185">
        <f t="shared" si="10"/>
        <v>0</v>
      </c>
      <c r="Q273" s="185">
        <v>1.0970000000000001E-2</v>
      </c>
      <c r="R273" s="185">
        <f t="shared" si="11"/>
        <v>1.0970000000000001E-2</v>
      </c>
      <c r="S273" s="185">
        <v>0</v>
      </c>
      <c r="T273" s="186">
        <f t="shared" si="12"/>
        <v>0</v>
      </c>
      <c r="AR273" s="131" t="s">
        <v>148</v>
      </c>
      <c r="AT273" s="131" t="s">
        <v>241</v>
      </c>
      <c r="AU273" s="131" t="s">
        <v>82</v>
      </c>
      <c r="AY273" s="90" t="s">
        <v>127</v>
      </c>
      <c r="BE273" s="187">
        <f t="shared" si="13"/>
        <v>0</v>
      </c>
      <c r="BF273" s="187">
        <f t="shared" si="14"/>
        <v>0</v>
      </c>
      <c r="BG273" s="187">
        <f t="shared" si="15"/>
        <v>0</v>
      </c>
      <c r="BH273" s="187">
        <f t="shared" si="16"/>
        <v>0</v>
      </c>
      <c r="BI273" s="187">
        <f t="shared" si="17"/>
        <v>0</v>
      </c>
      <c r="BJ273" s="90" t="s">
        <v>80</v>
      </c>
      <c r="BK273" s="187">
        <f t="shared" si="18"/>
        <v>0</v>
      </c>
      <c r="BL273" s="90" t="s">
        <v>131</v>
      </c>
      <c r="BM273" s="131" t="s">
        <v>1024</v>
      </c>
    </row>
    <row r="274" spans="2:65" s="99" customFormat="1" ht="29.25" customHeight="1" x14ac:dyDescent="0.2">
      <c r="B274" s="98"/>
      <c r="C274" s="214">
        <v>66</v>
      </c>
      <c r="D274" s="214" t="s">
        <v>241</v>
      </c>
      <c r="E274" s="215" t="s">
        <v>1027</v>
      </c>
      <c r="F274" s="247" t="s">
        <v>1029</v>
      </c>
      <c r="G274" s="217" t="s">
        <v>196</v>
      </c>
      <c r="H274" s="218">
        <v>1</v>
      </c>
      <c r="I274" s="80"/>
      <c r="J274" s="181">
        <f t="shared" si="19"/>
        <v>0</v>
      </c>
      <c r="K274" s="220"/>
      <c r="L274" s="251"/>
      <c r="M274" s="221" t="s">
        <v>1</v>
      </c>
      <c r="N274" s="222" t="s">
        <v>38</v>
      </c>
      <c r="P274" s="185">
        <f t="shared" si="10"/>
        <v>0</v>
      </c>
      <c r="Q274" s="185">
        <v>3.5000000000000001E-3</v>
      </c>
      <c r="R274" s="185">
        <f t="shared" si="11"/>
        <v>3.5000000000000001E-3</v>
      </c>
      <c r="S274" s="185">
        <v>0</v>
      </c>
      <c r="T274" s="186">
        <f t="shared" si="12"/>
        <v>0</v>
      </c>
      <c r="AR274" s="131" t="s">
        <v>148</v>
      </c>
      <c r="AT274" s="131" t="s">
        <v>241</v>
      </c>
      <c r="AU274" s="131" t="s">
        <v>82</v>
      </c>
      <c r="AY274" s="90" t="s">
        <v>127</v>
      </c>
      <c r="BE274" s="187">
        <f t="shared" si="13"/>
        <v>0</v>
      </c>
      <c r="BF274" s="187">
        <f t="shared" si="14"/>
        <v>0</v>
      </c>
      <c r="BG274" s="187">
        <f t="shared" si="15"/>
        <v>0</v>
      </c>
      <c r="BH274" s="187">
        <f t="shared" si="16"/>
        <v>0</v>
      </c>
      <c r="BI274" s="187">
        <f t="shared" si="17"/>
        <v>0</v>
      </c>
      <c r="BJ274" s="90" t="s">
        <v>80</v>
      </c>
      <c r="BK274" s="187">
        <f t="shared" si="18"/>
        <v>0</v>
      </c>
      <c r="BL274" s="90" t="s">
        <v>131</v>
      </c>
      <c r="BM274" s="131" t="s">
        <v>1028</v>
      </c>
    </row>
    <row r="275" spans="2:65" s="99" customFormat="1" ht="24.2" customHeight="1" x14ac:dyDescent="0.2">
      <c r="B275" s="98"/>
      <c r="C275" s="176">
        <v>67</v>
      </c>
      <c r="D275" s="176" t="s">
        <v>129</v>
      </c>
      <c r="E275" s="177" t="s">
        <v>697</v>
      </c>
      <c r="F275" s="178" t="s">
        <v>698</v>
      </c>
      <c r="G275" s="179" t="s">
        <v>196</v>
      </c>
      <c r="H275" s="180">
        <v>52</v>
      </c>
      <c r="I275" s="80"/>
      <c r="J275" s="181">
        <f t="shared" ref="J275:J282" si="20">ROUND(I275*H275,2)</f>
        <v>0</v>
      </c>
      <c r="K275" s="182"/>
      <c r="L275" s="98"/>
      <c r="M275" s="183" t="s">
        <v>1</v>
      </c>
      <c r="N275" s="184" t="s">
        <v>38</v>
      </c>
      <c r="P275" s="185">
        <f t="shared" si="10"/>
        <v>0</v>
      </c>
      <c r="Q275" s="185">
        <v>0</v>
      </c>
      <c r="R275" s="185">
        <f t="shared" si="11"/>
        <v>0</v>
      </c>
      <c r="S275" s="185">
        <v>0</v>
      </c>
      <c r="T275" s="186">
        <f t="shared" si="12"/>
        <v>0</v>
      </c>
      <c r="AR275" s="131" t="s">
        <v>131</v>
      </c>
      <c r="AT275" s="131" t="s">
        <v>129</v>
      </c>
      <c r="AU275" s="131" t="s">
        <v>82</v>
      </c>
      <c r="AY275" s="90" t="s">
        <v>127</v>
      </c>
      <c r="BE275" s="187">
        <f t="shared" si="13"/>
        <v>0</v>
      </c>
      <c r="BF275" s="187">
        <f t="shared" si="14"/>
        <v>0</v>
      </c>
      <c r="BG275" s="187">
        <f t="shared" si="15"/>
        <v>0</v>
      </c>
      <c r="BH275" s="187">
        <f t="shared" si="16"/>
        <v>0</v>
      </c>
      <c r="BI275" s="187">
        <f t="shared" si="17"/>
        <v>0</v>
      </c>
      <c r="BJ275" s="90" t="s">
        <v>80</v>
      </c>
      <c r="BK275" s="187">
        <f t="shared" si="18"/>
        <v>0</v>
      </c>
      <c r="BL275" s="90" t="s">
        <v>131</v>
      </c>
      <c r="BM275" s="131" t="s">
        <v>699</v>
      </c>
    </row>
    <row r="276" spans="2:65" s="99" customFormat="1" ht="24.2" customHeight="1" x14ac:dyDescent="0.2">
      <c r="B276" s="98"/>
      <c r="C276" s="214">
        <v>68</v>
      </c>
      <c r="D276" s="214" t="s">
        <v>241</v>
      </c>
      <c r="E276" s="215" t="s">
        <v>700</v>
      </c>
      <c r="F276" s="247" t="s">
        <v>1005</v>
      </c>
      <c r="G276" s="217" t="s">
        <v>196</v>
      </c>
      <c r="H276" s="218">
        <v>52</v>
      </c>
      <c r="I276" s="85"/>
      <c r="J276" s="219">
        <f t="shared" si="20"/>
        <v>0</v>
      </c>
      <c r="K276" s="220"/>
      <c r="L276" s="251"/>
      <c r="M276" s="221" t="s">
        <v>1</v>
      </c>
      <c r="N276" s="222" t="s">
        <v>38</v>
      </c>
      <c r="P276" s="185">
        <f t="shared" si="10"/>
        <v>0</v>
      </c>
      <c r="Q276" s="185">
        <v>2.3999999999999998E-3</v>
      </c>
      <c r="R276" s="185">
        <f t="shared" si="11"/>
        <v>0.12479999999999999</v>
      </c>
      <c r="S276" s="185">
        <v>0</v>
      </c>
      <c r="T276" s="186">
        <f t="shared" si="12"/>
        <v>0</v>
      </c>
      <c r="AR276" s="131" t="s">
        <v>148</v>
      </c>
      <c r="AT276" s="131" t="s">
        <v>241</v>
      </c>
      <c r="AU276" s="131" t="s">
        <v>82</v>
      </c>
      <c r="AY276" s="90" t="s">
        <v>127</v>
      </c>
      <c r="BE276" s="187">
        <f t="shared" si="13"/>
        <v>0</v>
      </c>
      <c r="BF276" s="187">
        <f t="shared" si="14"/>
        <v>0</v>
      </c>
      <c r="BG276" s="187">
        <f t="shared" si="15"/>
        <v>0</v>
      </c>
      <c r="BH276" s="187">
        <f t="shared" si="16"/>
        <v>0</v>
      </c>
      <c r="BI276" s="187">
        <f t="shared" si="17"/>
        <v>0</v>
      </c>
      <c r="BJ276" s="90" t="s">
        <v>80</v>
      </c>
      <c r="BK276" s="187">
        <f t="shared" si="18"/>
        <v>0</v>
      </c>
      <c r="BL276" s="90" t="s">
        <v>131</v>
      </c>
      <c r="BM276" s="131" t="s">
        <v>701</v>
      </c>
    </row>
    <row r="277" spans="2:65" s="99" customFormat="1" ht="24.2" customHeight="1" x14ac:dyDescent="0.2">
      <c r="B277" s="98"/>
      <c r="C277" s="176">
        <v>69</v>
      </c>
      <c r="D277" s="176" t="s">
        <v>129</v>
      </c>
      <c r="E277" s="177" t="s">
        <v>702</v>
      </c>
      <c r="F277" s="178" t="s">
        <v>703</v>
      </c>
      <c r="G277" s="179" t="s">
        <v>196</v>
      </c>
      <c r="H277" s="180">
        <v>25</v>
      </c>
      <c r="I277" s="80"/>
      <c r="J277" s="181">
        <f t="shared" si="20"/>
        <v>0</v>
      </c>
      <c r="K277" s="182"/>
      <c r="L277" s="98"/>
      <c r="M277" s="183" t="s">
        <v>1</v>
      </c>
      <c r="N277" s="184" t="s">
        <v>38</v>
      </c>
      <c r="P277" s="185">
        <f t="shared" si="10"/>
        <v>0</v>
      </c>
      <c r="Q277" s="185">
        <v>0</v>
      </c>
      <c r="R277" s="185">
        <f t="shared" si="11"/>
        <v>0</v>
      </c>
      <c r="S277" s="185">
        <v>0</v>
      </c>
      <c r="T277" s="186">
        <f t="shared" si="12"/>
        <v>0</v>
      </c>
      <c r="AR277" s="131" t="s">
        <v>131</v>
      </c>
      <c r="AT277" s="131" t="s">
        <v>129</v>
      </c>
      <c r="AU277" s="131" t="s">
        <v>82</v>
      </c>
      <c r="AY277" s="90" t="s">
        <v>127</v>
      </c>
      <c r="BE277" s="187">
        <f t="shared" si="13"/>
        <v>0</v>
      </c>
      <c r="BF277" s="187">
        <f t="shared" si="14"/>
        <v>0</v>
      </c>
      <c r="BG277" s="187">
        <f t="shared" si="15"/>
        <v>0</v>
      </c>
      <c r="BH277" s="187">
        <f t="shared" si="16"/>
        <v>0</v>
      </c>
      <c r="BI277" s="187">
        <f t="shared" si="17"/>
        <v>0</v>
      </c>
      <c r="BJ277" s="90" t="s">
        <v>80</v>
      </c>
      <c r="BK277" s="187">
        <f t="shared" si="18"/>
        <v>0</v>
      </c>
      <c r="BL277" s="90" t="s">
        <v>131</v>
      </c>
      <c r="BM277" s="131" t="s">
        <v>704</v>
      </c>
    </row>
    <row r="278" spans="2:65" s="99" customFormat="1" ht="24.2" customHeight="1" x14ac:dyDescent="0.2">
      <c r="B278" s="98"/>
      <c r="C278" s="214">
        <v>70</v>
      </c>
      <c r="D278" s="214" t="s">
        <v>241</v>
      </c>
      <c r="E278" s="215" t="s">
        <v>705</v>
      </c>
      <c r="F278" s="247" t="s">
        <v>1006</v>
      </c>
      <c r="G278" s="217" t="s">
        <v>196</v>
      </c>
      <c r="H278" s="218">
        <v>25</v>
      </c>
      <c r="I278" s="85"/>
      <c r="J278" s="219">
        <f t="shared" si="20"/>
        <v>0</v>
      </c>
      <c r="K278" s="220"/>
      <c r="L278" s="251"/>
      <c r="M278" s="221" t="s">
        <v>1</v>
      </c>
      <c r="N278" s="222" t="s">
        <v>38</v>
      </c>
      <c r="P278" s="185">
        <f t="shared" si="10"/>
        <v>0</v>
      </c>
      <c r="Q278" s="185">
        <v>2.5000000000000001E-3</v>
      </c>
      <c r="R278" s="185">
        <f t="shared" si="11"/>
        <v>6.25E-2</v>
      </c>
      <c r="S278" s="185">
        <v>0</v>
      </c>
      <c r="T278" s="186">
        <f t="shared" si="12"/>
        <v>0</v>
      </c>
      <c r="AR278" s="131" t="s">
        <v>148</v>
      </c>
      <c r="AT278" s="131" t="s">
        <v>241</v>
      </c>
      <c r="AU278" s="131" t="s">
        <v>82</v>
      </c>
      <c r="AY278" s="90" t="s">
        <v>127</v>
      </c>
      <c r="BE278" s="187">
        <f t="shared" si="13"/>
        <v>0</v>
      </c>
      <c r="BF278" s="187">
        <f t="shared" si="14"/>
        <v>0</v>
      </c>
      <c r="BG278" s="187">
        <f t="shared" si="15"/>
        <v>0</v>
      </c>
      <c r="BH278" s="187">
        <f t="shared" si="16"/>
        <v>0</v>
      </c>
      <c r="BI278" s="187">
        <f t="shared" si="17"/>
        <v>0</v>
      </c>
      <c r="BJ278" s="90" t="s">
        <v>80</v>
      </c>
      <c r="BK278" s="187">
        <f t="shared" si="18"/>
        <v>0</v>
      </c>
      <c r="BL278" s="90" t="s">
        <v>131</v>
      </c>
      <c r="BM278" s="131" t="s">
        <v>706</v>
      </c>
    </row>
    <row r="279" spans="2:65" s="99" customFormat="1" ht="16.5" customHeight="1" x14ac:dyDescent="0.2">
      <c r="B279" s="98"/>
      <c r="C279" s="176">
        <v>71</v>
      </c>
      <c r="D279" s="176" t="s">
        <v>129</v>
      </c>
      <c r="E279" s="177" t="s">
        <v>560</v>
      </c>
      <c r="F279" s="178" t="s">
        <v>561</v>
      </c>
      <c r="G279" s="179" t="s">
        <v>196</v>
      </c>
      <c r="H279" s="180">
        <v>78</v>
      </c>
      <c r="I279" s="80"/>
      <c r="J279" s="181">
        <f t="shared" si="20"/>
        <v>0</v>
      </c>
      <c r="K279" s="182"/>
      <c r="L279" s="98"/>
      <c r="M279" s="183" t="s">
        <v>1</v>
      </c>
      <c r="N279" s="184" t="s">
        <v>38</v>
      </c>
      <c r="P279" s="185">
        <f t="shared" si="10"/>
        <v>0</v>
      </c>
      <c r="Q279" s="185">
        <v>0.01</v>
      </c>
      <c r="R279" s="185">
        <f t="shared" si="11"/>
        <v>0.78</v>
      </c>
      <c r="S279" s="185">
        <v>0</v>
      </c>
      <c r="T279" s="186">
        <f t="shared" si="12"/>
        <v>0</v>
      </c>
      <c r="AR279" s="131" t="s">
        <v>131</v>
      </c>
      <c r="AT279" s="131" t="s">
        <v>129</v>
      </c>
      <c r="AU279" s="131" t="s">
        <v>82</v>
      </c>
      <c r="AY279" s="90" t="s">
        <v>127</v>
      </c>
      <c r="BE279" s="187">
        <f t="shared" si="13"/>
        <v>0</v>
      </c>
      <c r="BF279" s="187">
        <f t="shared" si="14"/>
        <v>0</v>
      </c>
      <c r="BG279" s="187">
        <f t="shared" si="15"/>
        <v>0</v>
      </c>
      <c r="BH279" s="187">
        <f t="shared" si="16"/>
        <v>0</v>
      </c>
      <c r="BI279" s="187">
        <f t="shared" si="17"/>
        <v>0</v>
      </c>
      <c r="BJ279" s="90" t="s">
        <v>80</v>
      </c>
      <c r="BK279" s="187">
        <f t="shared" si="18"/>
        <v>0</v>
      </c>
      <c r="BL279" s="90" t="s">
        <v>131</v>
      </c>
      <c r="BM279" s="131" t="s">
        <v>707</v>
      </c>
    </row>
    <row r="280" spans="2:65" s="99" customFormat="1" ht="24.2" customHeight="1" x14ac:dyDescent="0.2">
      <c r="B280" s="98"/>
      <c r="C280" s="214">
        <v>72</v>
      </c>
      <c r="D280" s="214" t="s">
        <v>241</v>
      </c>
      <c r="E280" s="215" t="s">
        <v>565</v>
      </c>
      <c r="F280" s="247" t="s">
        <v>1007</v>
      </c>
      <c r="G280" s="217" t="s">
        <v>196</v>
      </c>
      <c r="H280" s="218">
        <v>78</v>
      </c>
      <c r="I280" s="85"/>
      <c r="J280" s="219">
        <f t="shared" si="20"/>
        <v>0</v>
      </c>
      <c r="K280" s="220"/>
      <c r="L280" s="251"/>
      <c r="M280" s="221" t="s">
        <v>1</v>
      </c>
      <c r="N280" s="222" t="s">
        <v>38</v>
      </c>
      <c r="P280" s="185">
        <f t="shared" si="10"/>
        <v>0</v>
      </c>
      <c r="Q280" s="185">
        <v>1.3299999999999999E-2</v>
      </c>
      <c r="R280" s="185">
        <f t="shared" si="11"/>
        <v>1.0373999999999999</v>
      </c>
      <c r="S280" s="185">
        <v>0</v>
      </c>
      <c r="T280" s="186">
        <f t="shared" si="12"/>
        <v>0</v>
      </c>
      <c r="AR280" s="131" t="s">
        <v>148</v>
      </c>
      <c r="AT280" s="131" t="s">
        <v>241</v>
      </c>
      <c r="AU280" s="131" t="s">
        <v>82</v>
      </c>
      <c r="AY280" s="90" t="s">
        <v>127</v>
      </c>
      <c r="BE280" s="187">
        <f t="shared" si="13"/>
        <v>0</v>
      </c>
      <c r="BF280" s="187">
        <f t="shared" si="14"/>
        <v>0</v>
      </c>
      <c r="BG280" s="187">
        <f t="shared" si="15"/>
        <v>0</v>
      </c>
      <c r="BH280" s="187">
        <f t="shared" si="16"/>
        <v>0</v>
      </c>
      <c r="BI280" s="187">
        <f t="shared" si="17"/>
        <v>0</v>
      </c>
      <c r="BJ280" s="90" t="s">
        <v>80</v>
      </c>
      <c r="BK280" s="187">
        <f t="shared" si="18"/>
        <v>0</v>
      </c>
      <c r="BL280" s="90" t="s">
        <v>131</v>
      </c>
      <c r="BM280" s="131" t="s">
        <v>708</v>
      </c>
    </row>
    <row r="281" spans="2:65" s="99" customFormat="1" ht="24.2" customHeight="1" x14ac:dyDescent="0.2">
      <c r="B281" s="98"/>
      <c r="C281" s="176">
        <v>73</v>
      </c>
      <c r="D281" s="176" t="s">
        <v>129</v>
      </c>
      <c r="E281" s="177" t="s">
        <v>577</v>
      </c>
      <c r="F281" s="178" t="s">
        <v>578</v>
      </c>
      <c r="G281" s="179" t="s">
        <v>160</v>
      </c>
      <c r="H281" s="180">
        <v>154.22</v>
      </c>
      <c r="I281" s="80"/>
      <c r="J281" s="181">
        <f t="shared" si="20"/>
        <v>0</v>
      </c>
      <c r="K281" s="182"/>
      <c r="L281" s="98"/>
      <c r="M281" s="183" t="s">
        <v>1</v>
      </c>
      <c r="N281" s="184" t="s">
        <v>38</v>
      </c>
      <c r="P281" s="185">
        <f t="shared" si="10"/>
        <v>0</v>
      </c>
      <c r="Q281" s="185">
        <v>1.2999999999999999E-4</v>
      </c>
      <c r="R281" s="185">
        <f t="shared" si="11"/>
        <v>2.00486E-2</v>
      </c>
      <c r="S281" s="185">
        <v>0</v>
      </c>
      <c r="T281" s="186">
        <f t="shared" si="12"/>
        <v>0</v>
      </c>
      <c r="AR281" s="131" t="s">
        <v>131</v>
      </c>
      <c r="AT281" s="131" t="s">
        <v>129</v>
      </c>
      <c r="AU281" s="131" t="s">
        <v>82</v>
      </c>
      <c r="AY281" s="90" t="s">
        <v>127</v>
      </c>
      <c r="BE281" s="187">
        <f t="shared" si="13"/>
        <v>0</v>
      </c>
      <c r="BF281" s="187">
        <f t="shared" si="14"/>
        <v>0</v>
      </c>
      <c r="BG281" s="187">
        <f t="shared" si="15"/>
        <v>0</v>
      </c>
      <c r="BH281" s="187">
        <f t="shared" si="16"/>
        <v>0</v>
      </c>
      <c r="BI281" s="187">
        <f t="shared" si="17"/>
        <v>0</v>
      </c>
      <c r="BJ281" s="90" t="s">
        <v>80</v>
      </c>
      <c r="BK281" s="187">
        <f t="shared" si="18"/>
        <v>0</v>
      </c>
      <c r="BL281" s="90" t="s">
        <v>131</v>
      </c>
      <c r="BM281" s="131" t="s">
        <v>709</v>
      </c>
    </row>
    <row r="282" spans="2:65" s="99" customFormat="1" ht="21.75" customHeight="1" x14ac:dyDescent="0.2">
      <c r="B282" s="98"/>
      <c r="C282" s="176">
        <v>74</v>
      </c>
      <c r="D282" s="176" t="s">
        <v>129</v>
      </c>
      <c r="E282" s="177" t="s">
        <v>710</v>
      </c>
      <c r="F282" s="178" t="s">
        <v>711</v>
      </c>
      <c r="G282" s="179" t="s">
        <v>196</v>
      </c>
      <c r="H282" s="180">
        <v>2</v>
      </c>
      <c r="I282" s="80"/>
      <c r="J282" s="181">
        <f t="shared" si="20"/>
        <v>0</v>
      </c>
      <c r="K282" s="182"/>
      <c r="L282" s="98"/>
      <c r="M282" s="183" t="s">
        <v>1</v>
      </c>
      <c r="N282" s="184" t="s">
        <v>38</v>
      </c>
      <c r="P282" s="185">
        <f t="shared" si="10"/>
        <v>0</v>
      </c>
      <c r="Q282" s="185">
        <v>2.2000000000000001E-4</v>
      </c>
      <c r="R282" s="185">
        <f t="shared" si="11"/>
        <v>4.4000000000000002E-4</v>
      </c>
      <c r="S282" s="185">
        <v>0</v>
      </c>
      <c r="T282" s="186">
        <f t="shared" si="12"/>
        <v>0</v>
      </c>
      <c r="AR282" s="131" t="s">
        <v>131</v>
      </c>
      <c r="AT282" s="131" t="s">
        <v>129</v>
      </c>
      <c r="AU282" s="131" t="s">
        <v>82</v>
      </c>
      <c r="AY282" s="90" t="s">
        <v>127</v>
      </c>
      <c r="BE282" s="187">
        <f t="shared" si="13"/>
        <v>0</v>
      </c>
      <c r="BF282" s="187">
        <f t="shared" si="14"/>
        <v>0</v>
      </c>
      <c r="BG282" s="187">
        <f t="shared" si="15"/>
        <v>0</v>
      </c>
      <c r="BH282" s="187">
        <f t="shared" si="16"/>
        <v>0</v>
      </c>
      <c r="BI282" s="187">
        <f t="shared" si="17"/>
        <v>0</v>
      </c>
      <c r="BJ282" s="90" t="s">
        <v>80</v>
      </c>
      <c r="BK282" s="187">
        <f t="shared" si="18"/>
        <v>0</v>
      </c>
      <c r="BL282" s="90" t="s">
        <v>131</v>
      </c>
      <c r="BM282" s="131" t="s">
        <v>712</v>
      </c>
    </row>
    <row r="283" spans="2:65" s="164" customFormat="1" ht="22.9" customHeight="1" x14ac:dyDescent="0.2">
      <c r="B283" s="163"/>
      <c r="D283" s="165" t="s">
        <v>71</v>
      </c>
      <c r="E283" s="174" t="s">
        <v>153</v>
      </c>
      <c r="F283" s="174" t="s">
        <v>582</v>
      </c>
      <c r="I283" s="79"/>
      <c r="J283" s="175">
        <f>SUM(J284:J288)</f>
        <v>0</v>
      </c>
      <c r="L283" s="163"/>
      <c r="M283" s="169"/>
      <c r="P283" s="170">
        <f>SUM(P284:P289)</f>
        <v>0</v>
      </c>
      <c r="R283" s="170">
        <f>SUM(R284:R289)</f>
        <v>9.300000000000001E-3</v>
      </c>
      <c r="T283" s="171">
        <f>SUM(T284:T289)</f>
        <v>0</v>
      </c>
      <c r="AR283" s="165" t="s">
        <v>80</v>
      </c>
      <c r="AT283" s="172" t="s">
        <v>71</v>
      </c>
      <c r="AU283" s="172" t="s">
        <v>80</v>
      </c>
      <c r="AY283" s="165" t="s">
        <v>127</v>
      </c>
      <c r="BK283" s="173">
        <f>SUM(BK284:BK289)</f>
        <v>0</v>
      </c>
    </row>
    <row r="284" spans="2:65" s="99" customFormat="1" ht="24.2" customHeight="1" x14ac:dyDescent="0.2">
      <c r="B284" s="98"/>
      <c r="C284" s="176">
        <v>75</v>
      </c>
      <c r="D284" s="176" t="s">
        <v>129</v>
      </c>
      <c r="E284" s="177" t="s">
        <v>583</v>
      </c>
      <c r="F284" s="178" t="s">
        <v>584</v>
      </c>
      <c r="G284" s="179" t="s">
        <v>160</v>
      </c>
      <c r="H284" s="180">
        <v>186</v>
      </c>
      <c r="I284" s="80"/>
      <c r="J284" s="181">
        <f>ROUND(I284*H284,2)</f>
        <v>0</v>
      </c>
      <c r="K284" s="182"/>
      <c r="L284" s="98"/>
      <c r="M284" s="183" t="s">
        <v>1</v>
      </c>
      <c r="N284" s="184" t="s">
        <v>38</v>
      </c>
      <c r="P284" s="185">
        <f>O284*H284</f>
        <v>0</v>
      </c>
      <c r="Q284" s="185">
        <v>0</v>
      </c>
      <c r="R284" s="185">
        <f>Q284*H284</f>
        <v>0</v>
      </c>
      <c r="S284" s="185">
        <v>0</v>
      </c>
      <c r="T284" s="186">
        <f>S284*H284</f>
        <v>0</v>
      </c>
      <c r="AR284" s="131" t="s">
        <v>131</v>
      </c>
      <c r="AT284" s="131" t="s">
        <v>129</v>
      </c>
      <c r="AU284" s="131" t="s">
        <v>82</v>
      </c>
      <c r="AY284" s="90" t="s">
        <v>127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90" t="s">
        <v>80</v>
      </c>
      <c r="BK284" s="187">
        <f>ROUND(I284*H284,2)</f>
        <v>0</v>
      </c>
      <c r="BL284" s="90" t="s">
        <v>131</v>
      </c>
      <c r="BM284" s="131" t="s">
        <v>713</v>
      </c>
    </row>
    <row r="285" spans="2:65" s="189" customFormat="1" x14ac:dyDescent="0.2">
      <c r="B285" s="188"/>
      <c r="D285" s="190" t="s">
        <v>132</v>
      </c>
      <c r="E285" s="191" t="s">
        <v>1</v>
      </c>
      <c r="F285" s="192" t="s">
        <v>714</v>
      </c>
      <c r="H285" s="193">
        <v>186</v>
      </c>
      <c r="I285" s="82"/>
      <c r="L285" s="188"/>
      <c r="M285" s="194"/>
      <c r="T285" s="195"/>
      <c r="AT285" s="191" t="s">
        <v>132</v>
      </c>
      <c r="AU285" s="191" t="s">
        <v>82</v>
      </c>
      <c r="AV285" s="189" t="s">
        <v>82</v>
      </c>
      <c r="AW285" s="189" t="s">
        <v>30</v>
      </c>
      <c r="AX285" s="189" t="s">
        <v>72</v>
      </c>
      <c r="AY285" s="191" t="s">
        <v>127</v>
      </c>
    </row>
    <row r="286" spans="2:65" s="99" customFormat="1" ht="24.2" customHeight="1" x14ac:dyDescent="0.2">
      <c r="B286" s="98"/>
      <c r="C286" s="176">
        <v>76</v>
      </c>
      <c r="D286" s="176" t="s">
        <v>129</v>
      </c>
      <c r="E286" s="177" t="s">
        <v>586</v>
      </c>
      <c r="F286" s="178" t="s">
        <v>587</v>
      </c>
      <c r="G286" s="179" t="s">
        <v>160</v>
      </c>
      <c r="H286" s="180">
        <v>186</v>
      </c>
      <c r="I286" s="80"/>
      <c r="J286" s="181">
        <f>ROUND(I286*H286,2)</f>
        <v>0</v>
      </c>
      <c r="K286" s="182"/>
      <c r="L286" s="98"/>
      <c r="M286" s="183" t="s">
        <v>1</v>
      </c>
      <c r="N286" s="184" t="s">
        <v>38</v>
      </c>
      <c r="P286" s="185">
        <f>O286*H286</f>
        <v>0</v>
      </c>
      <c r="Q286" s="185">
        <v>5.0000000000000002E-5</v>
      </c>
      <c r="R286" s="185">
        <f>Q286*H286</f>
        <v>9.300000000000001E-3</v>
      </c>
      <c r="S286" s="185">
        <v>0</v>
      </c>
      <c r="T286" s="186">
        <f>S286*H286</f>
        <v>0</v>
      </c>
      <c r="AR286" s="131" t="s">
        <v>131</v>
      </c>
      <c r="AT286" s="131" t="s">
        <v>129</v>
      </c>
      <c r="AU286" s="131" t="s">
        <v>82</v>
      </c>
      <c r="AY286" s="90" t="s">
        <v>127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90" t="s">
        <v>80</v>
      </c>
      <c r="BK286" s="187">
        <f>ROUND(I286*H286,2)</f>
        <v>0</v>
      </c>
      <c r="BL286" s="90" t="s">
        <v>131</v>
      </c>
      <c r="BM286" s="131" t="s">
        <v>715</v>
      </c>
    </row>
    <row r="287" spans="2:65" s="189" customFormat="1" x14ac:dyDescent="0.2">
      <c r="B287" s="188"/>
      <c r="D287" s="190" t="s">
        <v>132</v>
      </c>
      <c r="E287" s="191" t="s">
        <v>1</v>
      </c>
      <c r="F287" s="192" t="s">
        <v>714</v>
      </c>
      <c r="H287" s="193">
        <v>186</v>
      </c>
      <c r="I287" s="82"/>
      <c r="L287" s="188"/>
      <c r="M287" s="194"/>
      <c r="T287" s="195"/>
      <c r="AT287" s="191" t="s">
        <v>132</v>
      </c>
      <c r="AU287" s="191" t="s">
        <v>82</v>
      </c>
      <c r="AV287" s="189" t="s">
        <v>82</v>
      </c>
      <c r="AW287" s="189" t="s">
        <v>30</v>
      </c>
      <c r="AX287" s="189" t="s">
        <v>72</v>
      </c>
      <c r="AY287" s="191" t="s">
        <v>127</v>
      </c>
    </row>
    <row r="288" spans="2:65" s="99" customFormat="1" ht="16.5" customHeight="1" x14ac:dyDescent="0.2">
      <c r="B288" s="98"/>
      <c r="C288" s="176">
        <v>77</v>
      </c>
      <c r="D288" s="176" t="s">
        <v>129</v>
      </c>
      <c r="E288" s="177" t="s">
        <v>589</v>
      </c>
      <c r="F288" s="178" t="s">
        <v>590</v>
      </c>
      <c r="G288" s="179" t="s">
        <v>160</v>
      </c>
      <c r="H288" s="180">
        <v>186</v>
      </c>
      <c r="I288" s="80"/>
      <c r="J288" s="181">
        <f>ROUND(I288*H288,2)</f>
        <v>0</v>
      </c>
      <c r="K288" s="182"/>
      <c r="L288" s="98"/>
      <c r="M288" s="183" t="s">
        <v>1</v>
      </c>
      <c r="N288" s="184" t="s">
        <v>38</v>
      </c>
      <c r="P288" s="185">
        <f>O288*H288</f>
        <v>0</v>
      </c>
      <c r="Q288" s="185">
        <v>0</v>
      </c>
      <c r="R288" s="185">
        <f>Q288*H288</f>
        <v>0</v>
      </c>
      <c r="S288" s="185">
        <v>0</v>
      </c>
      <c r="T288" s="186">
        <f>S288*H288</f>
        <v>0</v>
      </c>
      <c r="AR288" s="131" t="s">
        <v>131</v>
      </c>
      <c r="AT288" s="131" t="s">
        <v>129</v>
      </c>
      <c r="AU288" s="131" t="s">
        <v>82</v>
      </c>
      <c r="AY288" s="90" t="s">
        <v>127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90" t="s">
        <v>80</v>
      </c>
      <c r="BK288" s="187">
        <f>ROUND(I288*H288,2)</f>
        <v>0</v>
      </c>
      <c r="BL288" s="90" t="s">
        <v>131</v>
      </c>
      <c r="BM288" s="131" t="s">
        <v>716</v>
      </c>
    </row>
    <row r="289" spans="2:65" s="189" customFormat="1" x14ac:dyDescent="0.2">
      <c r="B289" s="188"/>
      <c r="D289" s="190" t="s">
        <v>132</v>
      </c>
      <c r="E289" s="191" t="s">
        <v>1</v>
      </c>
      <c r="F289" s="192" t="s">
        <v>714</v>
      </c>
      <c r="H289" s="193">
        <v>186</v>
      </c>
      <c r="I289" s="82"/>
      <c r="L289" s="188"/>
      <c r="M289" s="194"/>
      <c r="T289" s="195"/>
      <c r="AT289" s="191" t="s">
        <v>132</v>
      </c>
      <c r="AU289" s="191" t="s">
        <v>82</v>
      </c>
      <c r="AV289" s="189" t="s">
        <v>82</v>
      </c>
      <c r="AW289" s="189" t="s">
        <v>30</v>
      </c>
      <c r="AX289" s="189" t="s">
        <v>72</v>
      </c>
      <c r="AY289" s="191" t="s">
        <v>127</v>
      </c>
    </row>
    <row r="290" spans="2:65" s="164" customFormat="1" ht="22.9" customHeight="1" x14ac:dyDescent="0.2">
      <c r="B290" s="163"/>
      <c r="D290" s="165" t="s">
        <v>71</v>
      </c>
      <c r="E290" s="174" t="s">
        <v>599</v>
      </c>
      <c r="F290" s="174" t="s">
        <v>600</v>
      </c>
      <c r="I290" s="79"/>
      <c r="J290" s="175">
        <f>SUM(J291:J297)</f>
        <v>0</v>
      </c>
      <c r="L290" s="163"/>
      <c r="M290" s="169"/>
      <c r="P290" s="170">
        <f>SUM(P291:P298)</f>
        <v>0</v>
      </c>
      <c r="R290" s="170">
        <f>SUM(R291:R298)</f>
        <v>0</v>
      </c>
      <c r="T290" s="171">
        <f>SUM(T291:T298)</f>
        <v>0</v>
      </c>
      <c r="AR290" s="165" t="s">
        <v>80</v>
      </c>
      <c r="AT290" s="172" t="s">
        <v>71</v>
      </c>
      <c r="AU290" s="172" t="s">
        <v>80</v>
      </c>
      <c r="AY290" s="165" t="s">
        <v>127</v>
      </c>
      <c r="BK290" s="173">
        <f>SUM(BK291:BK298)</f>
        <v>0</v>
      </c>
    </row>
    <row r="291" spans="2:65" s="99" customFormat="1" ht="40.5" customHeight="1" x14ac:dyDescent="0.2">
      <c r="B291" s="98"/>
      <c r="C291" s="176">
        <v>78</v>
      </c>
      <c r="D291" s="176" t="s">
        <v>129</v>
      </c>
      <c r="E291" s="177"/>
      <c r="F291" s="178" t="s">
        <v>966</v>
      </c>
      <c r="G291" s="179" t="s">
        <v>233</v>
      </c>
      <c r="H291" s="180">
        <f>H292</f>
        <v>0.17199999999999999</v>
      </c>
      <c r="I291" s="80"/>
      <c r="J291" s="181">
        <f>ROUND(I291*H291,2)</f>
        <v>0</v>
      </c>
      <c r="K291" s="182"/>
      <c r="L291" s="98"/>
      <c r="M291" s="183" t="s">
        <v>1</v>
      </c>
      <c r="N291" s="184" t="s">
        <v>38</v>
      </c>
      <c r="P291" s="185">
        <f>O291*H291</f>
        <v>0</v>
      </c>
      <c r="Q291" s="185">
        <v>0</v>
      </c>
      <c r="R291" s="185">
        <f>Q291*H291</f>
        <v>0</v>
      </c>
      <c r="S291" s="185">
        <v>0</v>
      </c>
      <c r="T291" s="186">
        <f>S291*H291</f>
        <v>0</v>
      </c>
      <c r="AR291" s="131" t="s">
        <v>131</v>
      </c>
      <c r="AT291" s="131" t="s">
        <v>129</v>
      </c>
      <c r="AU291" s="131" t="s">
        <v>82</v>
      </c>
      <c r="AY291" s="90" t="s">
        <v>127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90" t="s">
        <v>80</v>
      </c>
      <c r="BK291" s="187">
        <f>ROUND(I291*H291,2)</f>
        <v>0</v>
      </c>
      <c r="BL291" s="90" t="s">
        <v>131</v>
      </c>
      <c r="BM291" s="131" t="s">
        <v>717</v>
      </c>
    </row>
    <row r="292" spans="2:65" s="189" customFormat="1" x14ac:dyDescent="0.2">
      <c r="B292" s="188"/>
      <c r="D292" s="190" t="s">
        <v>132</v>
      </c>
      <c r="E292" s="191" t="s">
        <v>1</v>
      </c>
      <c r="F292" s="192" t="s">
        <v>1008</v>
      </c>
      <c r="H292" s="193">
        <v>0.17199999999999999</v>
      </c>
      <c r="I292" s="82"/>
      <c r="L292" s="188"/>
      <c r="M292" s="194"/>
      <c r="T292" s="195"/>
      <c r="AT292" s="191" t="s">
        <v>132</v>
      </c>
      <c r="AU292" s="191" t="s">
        <v>82</v>
      </c>
      <c r="AV292" s="189" t="s">
        <v>82</v>
      </c>
      <c r="AW292" s="189" t="s">
        <v>30</v>
      </c>
      <c r="AX292" s="189" t="s">
        <v>72</v>
      </c>
      <c r="AY292" s="191" t="s">
        <v>127</v>
      </c>
    </row>
    <row r="293" spans="2:65" s="99" customFormat="1" ht="27" customHeight="1" x14ac:dyDescent="0.2">
      <c r="B293" s="98"/>
      <c r="C293" s="176">
        <v>79</v>
      </c>
      <c r="D293" s="176" t="s">
        <v>129</v>
      </c>
      <c r="E293" s="177"/>
      <c r="F293" s="178" t="s">
        <v>967</v>
      </c>
      <c r="G293" s="179" t="s">
        <v>233</v>
      </c>
      <c r="H293" s="180">
        <f>H294</f>
        <v>25.372800000000002</v>
      </c>
      <c r="I293" s="80"/>
      <c r="J293" s="181">
        <f>ROUND(I293*H293,2)</f>
        <v>0</v>
      </c>
      <c r="K293" s="182"/>
      <c r="L293" s="98"/>
      <c r="M293" s="183" t="s">
        <v>1</v>
      </c>
      <c r="N293" s="184" t="s">
        <v>38</v>
      </c>
      <c r="P293" s="185">
        <f>O293*H293</f>
        <v>0</v>
      </c>
      <c r="Q293" s="185">
        <v>0</v>
      </c>
      <c r="R293" s="185">
        <f>Q293*H293</f>
        <v>0</v>
      </c>
      <c r="S293" s="185">
        <v>0</v>
      </c>
      <c r="T293" s="186">
        <f>S293*H293</f>
        <v>0</v>
      </c>
      <c r="AR293" s="131" t="s">
        <v>131</v>
      </c>
      <c r="AT293" s="131" t="s">
        <v>129</v>
      </c>
      <c r="AU293" s="131" t="s">
        <v>82</v>
      </c>
      <c r="AY293" s="90" t="s">
        <v>127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90" t="s">
        <v>80</v>
      </c>
      <c r="BK293" s="187">
        <f>ROUND(I293*H293,2)</f>
        <v>0</v>
      </c>
      <c r="BL293" s="90" t="s">
        <v>131</v>
      </c>
      <c r="BM293" s="131" t="s">
        <v>718</v>
      </c>
    </row>
    <row r="294" spans="2:65" s="189" customFormat="1" x14ac:dyDescent="0.2">
      <c r="B294" s="188"/>
      <c r="D294" s="190" t="s">
        <v>132</v>
      </c>
      <c r="E294" s="191" t="s">
        <v>1</v>
      </c>
      <c r="F294" s="192" t="s">
        <v>1046</v>
      </c>
      <c r="H294" s="193">
        <f xml:space="preserve"> (77.4*0.04+99.44*0.05+25.04*0.1)*2.4</f>
        <v>25.372800000000002</v>
      </c>
      <c r="I294" s="82"/>
      <c r="L294" s="188"/>
      <c r="M294" s="194"/>
      <c r="T294" s="195"/>
      <c r="AT294" s="191" t="s">
        <v>132</v>
      </c>
      <c r="AU294" s="191" t="s">
        <v>82</v>
      </c>
      <c r="AV294" s="189" t="s">
        <v>82</v>
      </c>
      <c r="AW294" s="189" t="s">
        <v>30</v>
      </c>
      <c r="AX294" s="189" t="s">
        <v>72</v>
      </c>
      <c r="AY294" s="191" t="s">
        <v>127</v>
      </c>
    </row>
    <row r="295" spans="2:65" s="99" customFormat="1" ht="44.25" customHeight="1" x14ac:dyDescent="0.2">
      <c r="B295" s="98"/>
      <c r="C295" s="176">
        <v>80</v>
      </c>
      <c r="D295" s="176" t="s">
        <v>129</v>
      </c>
      <c r="E295" s="177"/>
      <c r="F295" s="178" t="s">
        <v>968</v>
      </c>
      <c r="G295" s="179" t="s">
        <v>233</v>
      </c>
      <c r="H295" s="180">
        <f>H296</f>
        <v>0.17199999999999999</v>
      </c>
      <c r="I295" s="80"/>
      <c r="J295" s="181">
        <f>ROUND(I295*H295,2)</f>
        <v>0</v>
      </c>
      <c r="K295" s="182"/>
      <c r="L295" s="196"/>
      <c r="M295" s="183" t="s">
        <v>1</v>
      </c>
      <c r="N295" s="184" t="s">
        <v>38</v>
      </c>
      <c r="P295" s="185">
        <f>O295*H295</f>
        <v>0</v>
      </c>
      <c r="Q295" s="185">
        <v>0</v>
      </c>
      <c r="R295" s="185">
        <f>Q295*H295</f>
        <v>0</v>
      </c>
      <c r="S295" s="185">
        <v>0</v>
      </c>
      <c r="T295" s="186">
        <f>S295*H295</f>
        <v>0</v>
      </c>
      <c r="AR295" s="131" t="s">
        <v>131</v>
      </c>
      <c r="AT295" s="131" t="s">
        <v>129</v>
      </c>
      <c r="AU295" s="131" t="s">
        <v>82</v>
      </c>
      <c r="AY295" s="90" t="s">
        <v>127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90" t="s">
        <v>80</v>
      </c>
      <c r="BK295" s="187">
        <f>ROUND(I295*H295,2)</f>
        <v>0</v>
      </c>
      <c r="BL295" s="90" t="s">
        <v>131</v>
      </c>
      <c r="BM295" s="131" t="s">
        <v>606</v>
      </c>
    </row>
    <row r="296" spans="2:65" s="189" customFormat="1" x14ac:dyDescent="0.2">
      <c r="B296" s="188"/>
      <c r="D296" s="190" t="s">
        <v>132</v>
      </c>
      <c r="E296" s="191"/>
      <c r="F296" s="192" t="s">
        <v>1008</v>
      </c>
      <c r="H296" s="193">
        <v>0.17199999999999999</v>
      </c>
      <c r="I296" s="82"/>
      <c r="L296" s="188"/>
      <c r="M296" s="194"/>
      <c r="T296" s="195"/>
      <c r="AT296" s="191" t="s">
        <v>132</v>
      </c>
      <c r="AU296" s="191" t="s">
        <v>82</v>
      </c>
      <c r="AV296" s="189" t="s">
        <v>82</v>
      </c>
      <c r="AW296" s="189" t="s">
        <v>30</v>
      </c>
      <c r="AX296" s="189" t="s">
        <v>72</v>
      </c>
      <c r="AY296" s="191" t="s">
        <v>127</v>
      </c>
    </row>
    <row r="297" spans="2:65" s="99" customFormat="1" ht="44.25" customHeight="1" x14ac:dyDescent="0.2">
      <c r="B297" s="98"/>
      <c r="C297" s="176">
        <v>81</v>
      </c>
      <c r="D297" s="176" t="s">
        <v>129</v>
      </c>
      <c r="E297" s="177"/>
      <c r="F297" s="178" t="s">
        <v>605</v>
      </c>
      <c r="G297" s="179" t="s">
        <v>233</v>
      </c>
      <c r="H297" s="180">
        <f>H298</f>
        <v>25.372800000000002</v>
      </c>
      <c r="I297" s="80"/>
      <c r="J297" s="181">
        <f>ROUND(I297*H297,2)</f>
        <v>0</v>
      </c>
      <c r="K297" s="182"/>
      <c r="L297" s="98"/>
      <c r="M297" s="183" t="s">
        <v>1</v>
      </c>
      <c r="N297" s="184" t="s">
        <v>38</v>
      </c>
      <c r="P297" s="185">
        <f>O297*H297</f>
        <v>0</v>
      </c>
      <c r="Q297" s="185">
        <v>0</v>
      </c>
      <c r="R297" s="185">
        <f>Q297*H297</f>
        <v>0</v>
      </c>
      <c r="S297" s="185">
        <v>0</v>
      </c>
      <c r="T297" s="186">
        <f>S297*H297</f>
        <v>0</v>
      </c>
      <c r="AR297" s="131" t="s">
        <v>131</v>
      </c>
      <c r="AT297" s="131" t="s">
        <v>129</v>
      </c>
      <c r="AU297" s="131" t="s">
        <v>82</v>
      </c>
      <c r="AY297" s="90" t="s">
        <v>127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90" t="s">
        <v>80</v>
      </c>
      <c r="BK297" s="187">
        <f>ROUND(I297*H297,2)</f>
        <v>0</v>
      </c>
      <c r="BL297" s="90" t="s">
        <v>131</v>
      </c>
      <c r="BM297" s="131" t="s">
        <v>719</v>
      </c>
    </row>
    <row r="298" spans="2:65" s="189" customFormat="1" x14ac:dyDescent="0.2">
      <c r="B298" s="188"/>
      <c r="D298" s="190" t="s">
        <v>132</v>
      </c>
      <c r="E298" s="191" t="s">
        <v>1</v>
      </c>
      <c r="F298" s="192" t="s">
        <v>1046</v>
      </c>
      <c r="H298" s="193">
        <f xml:space="preserve"> (77.4*0.04+99.44*0.05+25.04*0.1)*2.4</f>
        <v>25.372800000000002</v>
      </c>
      <c r="I298" s="82"/>
      <c r="L298" s="188"/>
      <c r="M298" s="194"/>
      <c r="T298" s="195"/>
      <c r="AT298" s="191" t="s">
        <v>132</v>
      </c>
      <c r="AU298" s="191" t="s">
        <v>82</v>
      </c>
      <c r="AV298" s="189" t="s">
        <v>82</v>
      </c>
      <c r="AW298" s="189" t="s">
        <v>30</v>
      </c>
      <c r="AX298" s="189" t="s">
        <v>72</v>
      </c>
      <c r="AY298" s="191" t="s">
        <v>127</v>
      </c>
    </row>
    <row r="299" spans="2:65" s="164" customFormat="1" ht="22.9" customHeight="1" x14ac:dyDescent="0.2">
      <c r="B299" s="163"/>
      <c r="D299" s="165" t="s">
        <v>71</v>
      </c>
      <c r="E299" s="174" t="s">
        <v>607</v>
      </c>
      <c r="F299" s="174" t="s">
        <v>608</v>
      </c>
      <c r="I299" s="79"/>
      <c r="J299" s="175">
        <f>J300</f>
        <v>0</v>
      </c>
      <c r="L299" s="163"/>
      <c r="M299" s="169"/>
      <c r="P299" s="170">
        <f>SUM(P300:P300)</f>
        <v>0</v>
      </c>
      <c r="R299" s="170">
        <f>SUM(R300:R300)</f>
        <v>0</v>
      </c>
      <c r="T299" s="171">
        <f>SUM(T300:T300)</f>
        <v>0</v>
      </c>
      <c r="AR299" s="165" t="s">
        <v>80</v>
      </c>
      <c r="AT299" s="172" t="s">
        <v>71</v>
      </c>
      <c r="AU299" s="172" t="s">
        <v>80</v>
      </c>
      <c r="AY299" s="165" t="s">
        <v>127</v>
      </c>
      <c r="BK299" s="173">
        <f>SUM(BK300:BK300)</f>
        <v>0</v>
      </c>
    </row>
    <row r="300" spans="2:65" s="99" customFormat="1" ht="24.2" customHeight="1" x14ac:dyDescent="0.2">
      <c r="B300" s="98"/>
      <c r="C300" s="176">
        <v>82</v>
      </c>
      <c r="D300" s="176" t="s">
        <v>129</v>
      </c>
      <c r="E300" s="177" t="s">
        <v>720</v>
      </c>
      <c r="F300" s="178" t="s">
        <v>721</v>
      </c>
      <c r="G300" s="179" t="s">
        <v>233</v>
      </c>
      <c r="H300" s="180">
        <f>R126</f>
        <v>5.012929119999999</v>
      </c>
      <c r="I300" s="80"/>
      <c r="J300" s="181">
        <f>ROUND(I300*H300,2)</f>
        <v>0</v>
      </c>
      <c r="K300" s="182"/>
      <c r="L300" s="98"/>
      <c r="M300" s="183" t="s">
        <v>1</v>
      </c>
      <c r="N300" s="184" t="s">
        <v>38</v>
      </c>
      <c r="P300" s="185">
        <f>O300*H300</f>
        <v>0</v>
      </c>
      <c r="Q300" s="185"/>
      <c r="R300" s="185"/>
      <c r="S300" s="185">
        <v>0</v>
      </c>
      <c r="T300" s="186">
        <f>S300*H300</f>
        <v>0</v>
      </c>
      <c r="AR300" s="131" t="s">
        <v>131</v>
      </c>
      <c r="AT300" s="131" t="s">
        <v>129</v>
      </c>
      <c r="AU300" s="131" t="s">
        <v>82</v>
      </c>
      <c r="AY300" s="90" t="s">
        <v>127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90" t="s">
        <v>80</v>
      </c>
      <c r="BK300" s="187">
        <f>ROUND(I300*H300,2)</f>
        <v>0</v>
      </c>
      <c r="BL300" s="90" t="s">
        <v>131</v>
      </c>
      <c r="BM300" s="131" t="s">
        <v>722</v>
      </c>
    </row>
    <row r="301" spans="2:65" s="164" customFormat="1" ht="25.9" customHeight="1" x14ac:dyDescent="0.2">
      <c r="B301" s="163"/>
      <c r="D301" s="165" t="s">
        <v>71</v>
      </c>
      <c r="E301" s="166" t="s">
        <v>241</v>
      </c>
      <c r="F301" s="166" t="s">
        <v>723</v>
      </c>
      <c r="I301" s="79"/>
      <c r="J301" s="167"/>
      <c r="L301" s="163"/>
      <c r="M301" s="169"/>
      <c r="P301" s="170">
        <f>P302</f>
        <v>0</v>
      </c>
      <c r="R301" s="170">
        <f>R302</f>
        <v>0</v>
      </c>
      <c r="T301" s="171">
        <f>T302</f>
        <v>0</v>
      </c>
      <c r="AR301" s="165" t="s">
        <v>134</v>
      </c>
      <c r="AT301" s="172" t="s">
        <v>71</v>
      </c>
      <c r="AU301" s="172" t="s">
        <v>72</v>
      </c>
      <c r="AY301" s="165" t="s">
        <v>127</v>
      </c>
      <c r="BK301" s="173">
        <f>BK302</f>
        <v>0</v>
      </c>
    </row>
    <row r="302" spans="2:65" s="164" customFormat="1" ht="22.9" customHeight="1" x14ac:dyDescent="0.2">
      <c r="B302" s="163"/>
      <c r="D302" s="165" t="s">
        <v>71</v>
      </c>
      <c r="E302" s="174" t="s">
        <v>724</v>
      </c>
      <c r="F302" s="174" t="s">
        <v>725</v>
      </c>
      <c r="I302" s="79"/>
      <c r="J302" s="175">
        <f>J303</f>
        <v>0</v>
      </c>
      <c r="L302" s="163"/>
      <c r="M302" s="169"/>
      <c r="P302" s="170">
        <f>SUM(P303:P304)</f>
        <v>0</v>
      </c>
      <c r="R302" s="170">
        <f>SUM(R303:R304)</f>
        <v>0</v>
      </c>
      <c r="T302" s="171">
        <f>SUM(T303:T304)</f>
        <v>0</v>
      </c>
      <c r="AR302" s="165" t="s">
        <v>134</v>
      </c>
      <c r="AT302" s="172" t="s">
        <v>71</v>
      </c>
      <c r="AU302" s="172" t="s">
        <v>80</v>
      </c>
      <c r="AY302" s="165" t="s">
        <v>127</v>
      </c>
      <c r="BK302" s="173">
        <f>SUM(BK303:BK304)</f>
        <v>0</v>
      </c>
    </row>
    <row r="303" spans="2:65" s="99" customFormat="1" ht="24.2" customHeight="1" x14ac:dyDescent="0.2">
      <c r="B303" s="98"/>
      <c r="C303" s="176">
        <v>83</v>
      </c>
      <c r="D303" s="176" t="s">
        <v>129</v>
      </c>
      <c r="E303" s="177" t="s">
        <v>726</v>
      </c>
      <c r="F303" s="178" t="s">
        <v>727</v>
      </c>
      <c r="G303" s="179" t="s">
        <v>160</v>
      </c>
      <c r="H303" s="180">
        <v>20</v>
      </c>
      <c r="I303" s="80"/>
      <c r="J303" s="181">
        <f>ROUND(I303*H303,2)</f>
        <v>0</v>
      </c>
      <c r="K303" s="182"/>
      <c r="L303" s="98"/>
      <c r="M303" s="183" t="s">
        <v>1</v>
      </c>
      <c r="N303" s="184" t="s">
        <v>38</v>
      </c>
      <c r="P303" s="185">
        <f>O303*H303</f>
        <v>0</v>
      </c>
      <c r="Q303" s="185">
        <v>0</v>
      </c>
      <c r="R303" s="185">
        <f>Q303*H303</f>
        <v>0</v>
      </c>
      <c r="S303" s="185">
        <v>0</v>
      </c>
      <c r="T303" s="186">
        <f>S303*H303</f>
        <v>0</v>
      </c>
      <c r="AR303" s="131" t="s">
        <v>338</v>
      </c>
      <c r="AT303" s="131" t="s">
        <v>129</v>
      </c>
      <c r="AU303" s="131" t="s">
        <v>82</v>
      </c>
      <c r="AY303" s="90" t="s">
        <v>127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90" t="s">
        <v>80</v>
      </c>
      <c r="BK303" s="187">
        <f>ROUND(I303*H303,2)</f>
        <v>0</v>
      </c>
      <c r="BL303" s="90" t="s">
        <v>338</v>
      </c>
      <c r="BM303" s="131" t="s">
        <v>728</v>
      </c>
    </row>
    <row r="304" spans="2:65" s="189" customFormat="1" ht="22.5" x14ac:dyDescent="0.2">
      <c r="B304" s="188"/>
      <c r="D304" s="190" t="s">
        <v>132</v>
      </c>
      <c r="E304" s="191" t="s">
        <v>1</v>
      </c>
      <c r="F304" s="192" t="s">
        <v>729</v>
      </c>
      <c r="H304" s="193">
        <v>20</v>
      </c>
      <c r="I304" s="82"/>
      <c r="L304" s="188"/>
      <c r="M304" s="194"/>
      <c r="T304" s="195"/>
      <c r="AT304" s="191" t="s">
        <v>132</v>
      </c>
      <c r="AU304" s="191" t="s">
        <v>82</v>
      </c>
      <c r="AV304" s="189" t="s">
        <v>82</v>
      </c>
      <c r="AW304" s="189" t="s">
        <v>30</v>
      </c>
      <c r="AX304" s="189" t="s">
        <v>72</v>
      </c>
      <c r="AY304" s="191" t="s">
        <v>127</v>
      </c>
    </row>
    <row r="305" spans="2:12" s="99" customFormat="1" ht="6.95" customHeight="1" x14ac:dyDescent="0.2">
      <c r="B305" s="126"/>
      <c r="C305" s="127"/>
      <c r="D305" s="127"/>
      <c r="E305" s="127"/>
      <c r="F305" s="127"/>
      <c r="G305" s="127"/>
      <c r="H305" s="127"/>
      <c r="I305" s="127"/>
      <c r="J305" s="127"/>
      <c r="K305" s="127"/>
      <c r="L305" s="98"/>
    </row>
  </sheetData>
  <sheetProtection password="C9A1" sheet="1" objects="1" scenarios="1"/>
  <autoFilter ref="C125:K304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M255"/>
  <sheetViews>
    <sheetView showGridLines="0" topLeftCell="A82" workbookViewId="0">
      <selection activeCell="J107" sqref="J107"/>
    </sheetView>
  </sheetViews>
  <sheetFormatPr defaultRowHeight="11.25" x14ac:dyDescent="0.2"/>
  <cols>
    <col min="1" max="1" width="8.33203125" style="88" customWidth="1"/>
    <col min="2" max="2" width="1.1640625" style="88" customWidth="1"/>
    <col min="3" max="3" width="4.1640625" style="88" customWidth="1"/>
    <col min="4" max="4" width="4.33203125" style="88" customWidth="1"/>
    <col min="5" max="5" width="17.1640625" style="88" customWidth="1"/>
    <col min="6" max="6" width="50.83203125" style="88" customWidth="1"/>
    <col min="7" max="7" width="7.5" style="88" customWidth="1"/>
    <col min="8" max="8" width="14" style="88" customWidth="1"/>
    <col min="9" max="9" width="15.83203125" style="88" customWidth="1"/>
    <col min="10" max="10" width="22.33203125" style="88" customWidth="1"/>
    <col min="11" max="11" width="22.33203125" style="88" hidden="1" customWidth="1"/>
    <col min="12" max="12" width="9.33203125" style="88" hidden="1" customWidth="1"/>
    <col min="13" max="13" width="10.83203125" style="88" hidden="1" customWidth="1"/>
    <col min="14" max="14" width="0" style="88" hidden="1" customWidth="1"/>
    <col min="15" max="16" width="14.1640625" style="88" hidden="1" customWidth="1"/>
    <col min="17" max="20" width="14.1640625" style="88" customWidth="1"/>
    <col min="21" max="21" width="16.33203125" style="88" customWidth="1"/>
    <col min="22" max="22" width="12.33203125" style="88" customWidth="1"/>
    <col min="23" max="23" width="16.33203125" style="88" customWidth="1"/>
    <col min="24" max="24" width="12.33203125" style="88" customWidth="1"/>
    <col min="25" max="25" width="15" style="88" customWidth="1"/>
    <col min="26" max="26" width="11" style="88" customWidth="1"/>
    <col min="27" max="27" width="15" style="88" customWidth="1"/>
    <col min="28" max="28" width="16.33203125" style="88" customWidth="1"/>
    <col min="29" max="29" width="11" style="88" customWidth="1"/>
    <col min="30" max="30" width="15" style="88" customWidth="1"/>
    <col min="31" max="31" width="16.33203125" style="88" customWidth="1"/>
    <col min="32" max="43" width="9.33203125" style="88"/>
    <col min="44" max="65" width="9.33203125" style="88" hidden="1"/>
    <col min="66" max="16384" width="9.33203125" style="88"/>
  </cols>
  <sheetData>
    <row r="1" spans="2:46" hidden="1" x14ac:dyDescent="0.2"/>
    <row r="2" spans="2:46" ht="36.950000000000003" hidden="1" customHeight="1" x14ac:dyDescent="0.2">
      <c r="L2" s="320" t="s">
        <v>5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90" t="s">
        <v>92</v>
      </c>
    </row>
    <row r="3" spans="2:46" ht="6.95" hidden="1" customHeight="1" x14ac:dyDescent="0.2">
      <c r="B3" s="91"/>
      <c r="C3" s="92"/>
      <c r="D3" s="92"/>
      <c r="E3" s="92"/>
      <c r="F3" s="92"/>
      <c r="G3" s="92"/>
      <c r="H3" s="92"/>
      <c r="I3" s="92"/>
      <c r="J3" s="92"/>
      <c r="K3" s="92"/>
      <c r="L3" s="94"/>
      <c r="AT3" s="90" t="s">
        <v>82</v>
      </c>
    </row>
    <row r="4" spans="2:46" ht="24.95" hidden="1" customHeight="1" x14ac:dyDescent="0.2">
      <c r="B4" s="94"/>
      <c r="D4" s="95" t="s">
        <v>96</v>
      </c>
      <c r="L4" s="94"/>
      <c r="M4" s="96" t="s">
        <v>10</v>
      </c>
      <c r="AT4" s="90" t="s">
        <v>3</v>
      </c>
    </row>
    <row r="5" spans="2:46" ht="6.95" hidden="1" customHeight="1" x14ac:dyDescent="0.2">
      <c r="B5" s="94"/>
      <c r="L5" s="94"/>
    </row>
    <row r="6" spans="2:46" ht="12" hidden="1" customHeight="1" x14ac:dyDescent="0.2">
      <c r="B6" s="94"/>
      <c r="D6" s="97" t="s">
        <v>16</v>
      </c>
      <c r="L6" s="94"/>
    </row>
    <row r="7" spans="2:46" ht="16.5" hidden="1" customHeight="1" x14ac:dyDescent="0.2">
      <c r="B7" s="94"/>
      <c r="E7" s="318" t="str">
        <f>'Rekapitulace stavby'!K6</f>
        <v>Horky nad Jizerou - oprava vodovodu při stavbě KNL - II. etapa</v>
      </c>
      <c r="F7" s="319"/>
      <c r="G7" s="319"/>
      <c r="H7" s="319"/>
      <c r="L7" s="94"/>
    </row>
    <row r="8" spans="2:46" ht="12" hidden="1" customHeight="1" x14ac:dyDescent="0.2">
      <c r="B8" s="94"/>
      <c r="D8" s="97" t="s">
        <v>97</v>
      </c>
      <c r="L8" s="94"/>
    </row>
    <row r="9" spans="2:46" s="99" customFormat="1" ht="16.5" hidden="1" customHeight="1" x14ac:dyDescent="0.2">
      <c r="B9" s="98"/>
      <c r="E9" s="318" t="s">
        <v>730</v>
      </c>
      <c r="F9" s="317"/>
      <c r="G9" s="317"/>
      <c r="H9" s="317"/>
      <c r="L9" s="98"/>
    </row>
    <row r="10" spans="2:46" s="99" customFormat="1" ht="12" hidden="1" customHeight="1" x14ac:dyDescent="0.2">
      <c r="B10" s="98"/>
      <c r="D10" s="97" t="s">
        <v>731</v>
      </c>
      <c r="L10" s="98"/>
    </row>
    <row r="11" spans="2:46" s="99" customFormat="1" ht="16.5" hidden="1" customHeight="1" x14ac:dyDescent="0.2">
      <c r="B11" s="98"/>
      <c r="E11" s="316" t="s">
        <v>732</v>
      </c>
      <c r="F11" s="317"/>
      <c r="G11" s="317"/>
      <c r="H11" s="317"/>
      <c r="L11" s="98"/>
    </row>
    <row r="12" spans="2:46" s="99" customFormat="1" hidden="1" x14ac:dyDescent="0.2">
      <c r="B12" s="98"/>
      <c r="L12" s="98"/>
    </row>
    <row r="13" spans="2:46" s="99" customFormat="1" ht="12" hidden="1" customHeight="1" x14ac:dyDescent="0.2">
      <c r="B13" s="98"/>
      <c r="D13" s="97" t="s">
        <v>18</v>
      </c>
      <c r="F13" s="102" t="s">
        <v>1</v>
      </c>
      <c r="I13" s="97" t="s">
        <v>19</v>
      </c>
      <c r="J13" s="102" t="s">
        <v>1</v>
      </c>
      <c r="L13" s="98"/>
    </row>
    <row r="14" spans="2:46" s="99" customFormat="1" ht="12" hidden="1" customHeight="1" x14ac:dyDescent="0.2">
      <c r="B14" s="98"/>
      <c r="D14" s="97" t="s">
        <v>20</v>
      </c>
      <c r="F14" s="102" t="s">
        <v>21</v>
      </c>
      <c r="I14" s="97" t="s">
        <v>22</v>
      </c>
      <c r="J14" s="103" t="str">
        <f>'Rekapitulace stavby'!AN8</f>
        <v>4. 11. 2024</v>
      </c>
      <c r="L14" s="98"/>
    </row>
    <row r="15" spans="2:46" s="99" customFormat="1" ht="10.9" hidden="1" customHeight="1" x14ac:dyDescent="0.2">
      <c r="B15" s="98"/>
      <c r="L15" s="98"/>
    </row>
    <row r="16" spans="2:46" s="99" customFormat="1" ht="12" hidden="1" customHeight="1" x14ac:dyDescent="0.2">
      <c r="B16" s="98"/>
      <c r="D16" s="97" t="s">
        <v>24</v>
      </c>
      <c r="I16" s="97" t="s">
        <v>25</v>
      </c>
      <c r="J16" s="102" t="str">
        <f>IF('Rekapitulace stavby'!AN10="","",'Rekapitulace stavby'!AN10)</f>
        <v/>
      </c>
      <c r="L16" s="98"/>
    </row>
    <row r="17" spans="2:12" s="99" customFormat="1" ht="18" hidden="1" customHeight="1" x14ac:dyDescent="0.2">
      <c r="B17" s="98"/>
      <c r="E17" s="102" t="str">
        <f>IF('Rekapitulace stavby'!E11="","",'Rekapitulace stavby'!E11)</f>
        <v xml:space="preserve"> </v>
      </c>
      <c r="I17" s="97" t="s">
        <v>26</v>
      </c>
      <c r="J17" s="102" t="str">
        <f>IF('Rekapitulace stavby'!AN11="","",'Rekapitulace stavby'!AN11)</f>
        <v/>
      </c>
      <c r="L17" s="98"/>
    </row>
    <row r="18" spans="2:12" s="99" customFormat="1" ht="6.95" hidden="1" customHeight="1" x14ac:dyDescent="0.2">
      <c r="B18" s="98"/>
      <c r="L18" s="98"/>
    </row>
    <row r="19" spans="2:12" s="99" customFormat="1" ht="12" hidden="1" customHeight="1" x14ac:dyDescent="0.2">
      <c r="B19" s="98"/>
      <c r="D19" s="97" t="s">
        <v>27</v>
      </c>
      <c r="I19" s="97" t="s">
        <v>25</v>
      </c>
      <c r="J19" s="104" t="str">
        <f>'Rekapitulace stavby'!AN13</f>
        <v>Vyplň údaj</v>
      </c>
      <c r="L19" s="98"/>
    </row>
    <row r="20" spans="2:12" s="99" customFormat="1" ht="18" hidden="1" customHeight="1" x14ac:dyDescent="0.2">
      <c r="B20" s="98"/>
      <c r="E20" s="322" t="str">
        <f>'Rekapitulace stavby'!E14</f>
        <v>Vyplň údaj</v>
      </c>
      <c r="F20" s="323"/>
      <c r="G20" s="323"/>
      <c r="H20" s="323"/>
      <c r="I20" s="97" t="s">
        <v>26</v>
      </c>
      <c r="J20" s="104" t="str">
        <f>'Rekapitulace stavby'!AN14</f>
        <v>Vyplň údaj</v>
      </c>
      <c r="L20" s="98"/>
    </row>
    <row r="21" spans="2:12" s="99" customFormat="1" ht="6.95" hidden="1" customHeight="1" x14ac:dyDescent="0.2">
      <c r="B21" s="98"/>
      <c r="L21" s="98"/>
    </row>
    <row r="22" spans="2:12" s="99" customFormat="1" ht="12" hidden="1" customHeight="1" x14ac:dyDescent="0.2">
      <c r="B22" s="98"/>
      <c r="D22" s="97" t="s">
        <v>29</v>
      </c>
      <c r="I22" s="97" t="s">
        <v>25</v>
      </c>
      <c r="J22" s="102" t="str">
        <f>IF('Rekapitulace stavby'!AN16="","",'Rekapitulace stavby'!AN16)</f>
        <v/>
      </c>
      <c r="L22" s="98"/>
    </row>
    <row r="23" spans="2:12" s="99" customFormat="1" ht="18" hidden="1" customHeight="1" x14ac:dyDescent="0.2">
      <c r="B23" s="98"/>
      <c r="E23" s="102" t="str">
        <f>IF('Rekapitulace stavby'!E17="","",'Rekapitulace stavby'!E17)</f>
        <v xml:space="preserve"> </v>
      </c>
      <c r="I23" s="97" t="s">
        <v>26</v>
      </c>
      <c r="J23" s="102" t="str">
        <f>IF('Rekapitulace stavby'!AN17="","",'Rekapitulace stavby'!AN17)</f>
        <v/>
      </c>
      <c r="L23" s="98"/>
    </row>
    <row r="24" spans="2:12" s="99" customFormat="1" ht="6.95" hidden="1" customHeight="1" x14ac:dyDescent="0.2">
      <c r="B24" s="98"/>
      <c r="L24" s="98"/>
    </row>
    <row r="25" spans="2:12" s="99" customFormat="1" ht="12" hidden="1" customHeight="1" x14ac:dyDescent="0.2">
      <c r="B25" s="98"/>
      <c r="D25" s="97" t="s">
        <v>31</v>
      </c>
      <c r="I25" s="97" t="s">
        <v>25</v>
      </c>
      <c r="J25" s="102" t="str">
        <f>IF('Rekapitulace stavby'!AN19="","",'Rekapitulace stavby'!AN19)</f>
        <v/>
      </c>
      <c r="L25" s="98"/>
    </row>
    <row r="26" spans="2:12" s="99" customFormat="1" ht="18" hidden="1" customHeight="1" x14ac:dyDescent="0.2">
      <c r="B26" s="98"/>
      <c r="E26" s="102" t="str">
        <f>IF('Rekapitulace stavby'!E20="","",'Rekapitulace stavby'!E20)</f>
        <v xml:space="preserve"> </v>
      </c>
      <c r="I26" s="97" t="s">
        <v>26</v>
      </c>
      <c r="J26" s="102" t="str">
        <f>IF('Rekapitulace stavby'!AN20="","",'Rekapitulace stavby'!AN20)</f>
        <v/>
      </c>
      <c r="L26" s="98"/>
    </row>
    <row r="27" spans="2:12" s="99" customFormat="1" ht="6.95" hidden="1" customHeight="1" x14ac:dyDescent="0.2">
      <c r="B27" s="98"/>
      <c r="L27" s="98"/>
    </row>
    <row r="28" spans="2:12" s="99" customFormat="1" ht="12" hidden="1" customHeight="1" x14ac:dyDescent="0.2">
      <c r="B28" s="98"/>
      <c r="D28" s="97" t="s">
        <v>32</v>
      </c>
      <c r="L28" s="98"/>
    </row>
    <row r="29" spans="2:12" s="105" customFormat="1" ht="16.5" hidden="1" customHeight="1" x14ac:dyDescent="0.2">
      <c r="B29" s="100"/>
      <c r="E29" s="324" t="s">
        <v>1</v>
      </c>
      <c r="F29" s="324"/>
      <c r="G29" s="324"/>
      <c r="H29" s="324"/>
      <c r="L29" s="100"/>
    </row>
    <row r="30" spans="2:12" s="99" customFormat="1" ht="6.95" hidden="1" customHeight="1" x14ac:dyDescent="0.2">
      <c r="B30" s="98"/>
      <c r="L30" s="98"/>
    </row>
    <row r="31" spans="2:12" s="99" customFormat="1" ht="6.95" hidden="1" customHeight="1" x14ac:dyDescent="0.2">
      <c r="B31" s="98"/>
      <c r="D31" s="106"/>
      <c r="E31" s="106"/>
      <c r="F31" s="106"/>
      <c r="G31" s="106"/>
      <c r="H31" s="106"/>
      <c r="I31" s="106"/>
      <c r="J31" s="106"/>
      <c r="K31" s="106"/>
      <c r="L31" s="98"/>
    </row>
    <row r="32" spans="2:12" s="99" customFormat="1" ht="25.35" hidden="1" customHeight="1" x14ac:dyDescent="0.2">
      <c r="B32" s="98"/>
      <c r="D32" s="107" t="s">
        <v>33</v>
      </c>
      <c r="J32" s="108">
        <f>ROUND(J130, 2)</f>
        <v>0</v>
      </c>
      <c r="L32" s="98"/>
    </row>
    <row r="33" spans="2:12" s="99" customFormat="1" ht="6.95" hidden="1" customHeight="1" x14ac:dyDescent="0.2">
      <c r="B33" s="98"/>
      <c r="D33" s="106"/>
      <c r="E33" s="106"/>
      <c r="F33" s="106"/>
      <c r="G33" s="106"/>
      <c r="H33" s="106"/>
      <c r="I33" s="106"/>
      <c r="J33" s="106"/>
      <c r="K33" s="106"/>
      <c r="L33" s="98"/>
    </row>
    <row r="34" spans="2:12" s="99" customFormat="1" ht="14.45" hidden="1" customHeight="1" x14ac:dyDescent="0.2">
      <c r="B34" s="98"/>
      <c r="F34" s="109" t="s">
        <v>35</v>
      </c>
      <c r="I34" s="109" t="s">
        <v>34</v>
      </c>
      <c r="J34" s="109" t="s">
        <v>36</v>
      </c>
      <c r="L34" s="98"/>
    </row>
    <row r="35" spans="2:12" s="99" customFormat="1" ht="14.45" hidden="1" customHeight="1" x14ac:dyDescent="0.2">
      <c r="B35" s="98"/>
      <c r="D35" s="110" t="s">
        <v>37</v>
      </c>
      <c r="E35" s="97" t="s">
        <v>38</v>
      </c>
      <c r="F35" s="111">
        <f>ROUND((SUM(BE130:BE250)),  2)</f>
        <v>0</v>
      </c>
      <c r="I35" s="112">
        <v>0.21</v>
      </c>
      <c r="J35" s="111">
        <f>ROUND(((SUM(BE130:BE250))*I35),  2)</f>
        <v>0</v>
      </c>
      <c r="L35" s="98"/>
    </row>
    <row r="36" spans="2:12" s="99" customFormat="1" ht="14.45" hidden="1" customHeight="1" x14ac:dyDescent="0.2">
      <c r="B36" s="98"/>
      <c r="E36" s="97" t="s">
        <v>39</v>
      </c>
      <c r="F36" s="111">
        <f>ROUND((SUM(BF130:BF250)),  2)</f>
        <v>0</v>
      </c>
      <c r="I36" s="112">
        <v>0.12</v>
      </c>
      <c r="J36" s="111">
        <f>ROUND(((SUM(BF130:BF250))*I36),  2)</f>
        <v>0</v>
      </c>
      <c r="L36" s="98"/>
    </row>
    <row r="37" spans="2:12" s="99" customFormat="1" ht="14.45" hidden="1" customHeight="1" x14ac:dyDescent="0.2">
      <c r="B37" s="98"/>
      <c r="E37" s="97" t="s">
        <v>40</v>
      </c>
      <c r="F37" s="111">
        <f>ROUND((SUM(BG130:BG250)),  2)</f>
        <v>0</v>
      </c>
      <c r="I37" s="112">
        <v>0.21</v>
      </c>
      <c r="J37" s="111">
        <f>0</f>
        <v>0</v>
      </c>
      <c r="L37" s="98"/>
    </row>
    <row r="38" spans="2:12" s="99" customFormat="1" ht="14.45" hidden="1" customHeight="1" x14ac:dyDescent="0.2">
      <c r="B38" s="98"/>
      <c r="E38" s="97" t="s">
        <v>41</v>
      </c>
      <c r="F38" s="111">
        <f>ROUND((SUM(BH130:BH250)),  2)</f>
        <v>0</v>
      </c>
      <c r="I38" s="112">
        <v>0.12</v>
      </c>
      <c r="J38" s="111">
        <f>0</f>
        <v>0</v>
      </c>
      <c r="L38" s="98"/>
    </row>
    <row r="39" spans="2:12" s="99" customFormat="1" ht="14.45" hidden="1" customHeight="1" x14ac:dyDescent="0.2">
      <c r="B39" s="98"/>
      <c r="E39" s="97" t="s">
        <v>42</v>
      </c>
      <c r="F39" s="111">
        <f>ROUND((SUM(BI130:BI250)),  2)</f>
        <v>0</v>
      </c>
      <c r="I39" s="112">
        <v>0</v>
      </c>
      <c r="J39" s="111">
        <f>0</f>
        <v>0</v>
      </c>
      <c r="L39" s="98"/>
    </row>
    <row r="40" spans="2:12" s="99" customFormat="1" ht="6.95" hidden="1" customHeight="1" x14ac:dyDescent="0.2">
      <c r="B40" s="98"/>
      <c r="L40" s="98"/>
    </row>
    <row r="41" spans="2:12" s="99" customFormat="1" ht="25.35" hidden="1" customHeight="1" x14ac:dyDescent="0.2">
      <c r="B41" s="98"/>
      <c r="D41" s="252" t="s">
        <v>43</v>
      </c>
      <c r="E41" s="253"/>
      <c r="F41" s="253"/>
      <c r="G41" s="254" t="s">
        <v>44</v>
      </c>
      <c r="H41" s="255" t="s">
        <v>45</v>
      </c>
      <c r="I41" s="253"/>
      <c r="J41" s="256">
        <f>SUM(J32:J39)</f>
        <v>0</v>
      </c>
      <c r="K41" s="119"/>
      <c r="L41" s="98"/>
    </row>
    <row r="42" spans="2:12" s="99" customFormat="1" ht="14.45" hidden="1" customHeight="1" x14ac:dyDescent="0.2">
      <c r="B42" s="98"/>
      <c r="L42" s="98"/>
    </row>
    <row r="43" spans="2:12" ht="14.45" hidden="1" customHeight="1" x14ac:dyDescent="0.2">
      <c r="B43" s="94"/>
      <c r="L43" s="94"/>
    </row>
    <row r="44" spans="2:12" ht="14.45" hidden="1" customHeight="1" x14ac:dyDescent="0.2">
      <c r="B44" s="94"/>
      <c r="L44" s="94"/>
    </row>
    <row r="45" spans="2:12" ht="14.45" hidden="1" customHeight="1" x14ac:dyDescent="0.2">
      <c r="B45" s="94"/>
      <c r="L45" s="94"/>
    </row>
    <row r="46" spans="2:12" ht="14.45" hidden="1" customHeight="1" x14ac:dyDescent="0.2">
      <c r="B46" s="94"/>
      <c r="L46" s="94"/>
    </row>
    <row r="47" spans="2:12" ht="14.45" hidden="1" customHeight="1" x14ac:dyDescent="0.2">
      <c r="B47" s="94"/>
      <c r="L47" s="94"/>
    </row>
    <row r="48" spans="2:12" ht="14.45" hidden="1" customHeight="1" x14ac:dyDescent="0.2">
      <c r="B48" s="94"/>
      <c r="L48" s="94"/>
    </row>
    <row r="49" spans="2:12" ht="14.45" hidden="1" customHeight="1" x14ac:dyDescent="0.2">
      <c r="B49" s="94"/>
      <c r="L49" s="94"/>
    </row>
    <row r="50" spans="2:12" s="99" customFormat="1" ht="14.45" hidden="1" customHeight="1" x14ac:dyDescent="0.2">
      <c r="B50" s="98"/>
      <c r="D50" s="120" t="s">
        <v>46</v>
      </c>
      <c r="E50" s="121"/>
      <c r="F50" s="121"/>
      <c r="G50" s="120" t="s">
        <v>47</v>
      </c>
      <c r="H50" s="121"/>
      <c r="I50" s="121"/>
      <c r="J50" s="121"/>
      <c r="K50" s="121"/>
      <c r="L50" s="98"/>
    </row>
    <row r="51" spans="2:12" hidden="1" x14ac:dyDescent="0.2">
      <c r="B51" s="94"/>
      <c r="L51" s="94"/>
    </row>
    <row r="52" spans="2:12" hidden="1" x14ac:dyDescent="0.2">
      <c r="B52" s="94"/>
      <c r="L52" s="94"/>
    </row>
    <row r="53" spans="2:12" hidden="1" x14ac:dyDescent="0.2">
      <c r="B53" s="94"/>
      <c r="L53" s="94"/>
    </row>
    <row r="54" spans="2:12" hidden="1" x14ac:dyDescent="0.2">
      <c r="B54" s="94"/>
      <c r="L54" s="94"/>
    </row>
    <row r="55" spans="2:12" hidden="1" x14ac:dyDescent="0.2">
      <c r="B55" s="94"/>
      <c r="L55" s="94"/>
    </row>
    <row r="56" spans="2:12" hidden="1" x14ac:dyDescent="0.2">
      <c r="B56" s="94"/>
      <c r="L56" s="94"/>
    </row>
    <row r="57" spans="2:12" hidden="1" x14ac:dyDescent="0.2">
      <c r="B57" s="94"/>
      <c r="L57" s="94"/>
    </row>
    <row r="58" spans="2:12" hidden="1" x14ac:dyDescent="0.2">
      <c r="B58" s="94"/>
      <c r="L58" s="94"/>
    </row>
    <row r="59" spans="2:12" hidden="1" x14ac:dyDescent="0.2">
      <c r="B59" s="94"/>
      <c r="L59" s="94"/>
    </row>
    <row r="60" spans="2:12" hidden="1" x14ac:dyDescent="0.2">
      <c r="B60" s="94"/>
      <c r="L60" s="94"/>
    </row>
    <row r="61" spans="2:12" s="99" customFormat="1" ht="12.75" hidden="1" x14ac:dyDescent="0.2">
      <c r="B61" s="98"/>
      <c r="D61" s="122" t="s">
        <v>48</v>
      </c>
      <c r="E61" s="123"/>
      <c r="F61" s="124" t="s">
        <v>49</v>
      </c>
      <c r="G61" s="122" t="s">
        <v>48</v>
      </c>
      <c r="H61" s="123"/>
      <c r="I61" s="123"/>
      <c r="J61" s="125" t="s">
        <v>49</v>
      </c>
      <c r="K61" s="123"/>
      <c r="L61" s="98"/>
    </row>
    <row r="62" spans="2:12" hidden="1" x14ac:dyDescent="0.2">
      <c r="B62" s="94"/>
      <c r="L62" s="94"/>
    </row>
    <row r="63" spans="2:12" hidden="1" x14ac:dyDescent="0.2">
      <c r="B63" s="94"/>
      <c r="L63" s="94"/>
    </row>
    <row r="64" spans="2:12" hidden="1" x14ac:dyDescent="0.2">
      <c r="B64" s="94"/>
      <c r="L64" s="94"/>
    </row>
    <row r="65" spans="2:12" s="99" customFormat="1" ht="12.75" hidden="1" x14ac:dyDescent="0.2">
      <c r="B65" s="98"/>
      <c r="D65" s="120" t="s">
        <v>50</v>
      </c>
      <c r="E65" s="121"/>
      <c r="F65" s="121"/>
      <c r="G65" s="120" t="s">
        <v>51</v>
      </c>
      <c r="H65" s="121"/>
      <c r="I65" s="121"/>
      <c r="J65" s="121"/>
      <c r="K65" s="121"/>
      <c r="L65" s="98"/>
    </row>
    <row r="66" spans="2:12" hidden="1" x14ac:dyDescent="0.2">
      <c r="B66" s="94"/>
      <c r="L66" s="94"/>
    </row>
    <row r="67" spans="2:12" hidden="1" x14ac:dyDescent="0.2">
      <c r="B67" s="94"/>
      <c r="L67" s="94"/>
    </row>
    <row r="68" spans="2:12" hidden="1" x14ac:dyDescent="0.2">
      <c r="B68" s="94"/>
      <c r="L68" s="94"/>
    </row>
    <row r="69" spans="2:12" hidden="1" x14ac:dyDescent="0.2">
      <c r="B69" s="94"/>
      <c r="L69" s="94"/>
    </row>
    <row r="70" spans="2:12" hidden="1" x14ac:dyDescent="0.2">
      <c r="B70" s="94"/>
      <c r="L70" s="94"/>
    </row>
    <row r="71" spans="2:12" hidden="1" x14ac:dyDescent="0.2">
      <c r="B71" s="94"/>
      <c r="L71" s="94"/>
    </row>
    <row r="72" spans="2:12" hidden="1" x14ac:dyDescent="0.2">
      <c r="B72" s="94"/>
      <c r="L72" s="94"/>
    </row>
    <row r="73" spans="2:12" hidden="1" x14ac:dyDescent="0.2">
      <c r="B73" s="94"/>
      <c r="L73" s="94"/>
    </row>
    <row r="74" spans="2:12" hidden="1" x14ac:dyDescent="0.2">
      <c r="B74" s="94"/>
      <c r="L74" s="94"/>
    </row>
    <row r="75" spans="2:12" hidden="1" x14ac:dyDescent="0.2">
      <c r="B75" s="94"/>
      <c r="L75" s="94"/>
    </row>
    <row r="76" spans="2:12" s="99" customFormat="1" ht="12.75" hidden="1" x14ac:dyDescent="0.2">
      <c r="B76" s="98"/>
      <c r="D76" s="122" t="s">
        <v>48</v>
      </c>
      <c r="E76" s="123"/>
      <c r="F76" s="124" t="s">
        <v>49</v>
      </c>
      <c r="G76" s="122" t="s">
        <v>48</v>
      </c>
      <c r="H76" s="123"/>
      <c r="I76" s="123"/>
      <c r="J76" s="125" t="s">
        <v>49</v>
      </c>
      <c r="K76" s="123"/>
      <c r="L76" s="98"/>
    </row>
    <row r="77" spans="2:12" s="99" customFormat="1" ht="14.45" hidden="1" customHeight="1" x14ac:dyDescent="0.2"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98"/>
    </row>
    <row r="78" spans="2:12" hidden="1" x14ac:dyDescent="0.2"/>
    <row r="79" spans="2:12" hidden="1" x14ac:dyDescent="0.2"/>
    <row r="80" spans="2:12" hidden="1" x14ac:dyDescent="0.2"/>
    <row r="81" spans="2:12" s="99" customFormat="1" ht="6.95" customHeight="1" x14ac:dyDescent="0.2">
      <c r="B81" s="128"/>
      <c r="C81" s="129"/>
      <c r="D81" s="129"/>
      <c r="E81" s="129"/>
      <c r="F81" s="129"/>
      <c r="G81" s="129"/>
      <c r="H81" s="129"/>
      <c r="I81" s="129"/>
      <c r="J81" s="129"/>
      <c r="K81" s="129"/>
      <c r="L81" s="98"/>
    </row>
    <row r="82" spans="2:12" s="99" customFormat="1" ht="24.95" customHeight="1" x14ac:dyDescent="0.2">
      <c r="B82" s="98"/>
      <c r="C82" s="95" t="s">
        <v>99</v>
      </c>
      <c r="L82" s="98"/>
    </row>
    <row r="83" spans="2:12" s="99" customFormat="1" ht="6.95" customHeight="1" x14ac:dyDescent="0.2">
      <c r="B83" s="98"/>
      <c r="L83" s="98"/>
    </row>
    <row r="84" spans="2:12" s="99" customFormat="1" ht="12" customHeight="1" x14ac:dyDescent="0.2">
      <c r="B84" s="98"/>
      <c r="C84" s="97" t="s">
        <v>16</v>
      </c>
      <c r="L84" s="98"/>
    </row>
    <row r="85" spans="2:12" s="99" customFormat="1" ht="16.5" customHeight="1" x14ac:dyDescent="0.2">
      <c r="B85" s="98"/>
      <c r="E85" s="318" t="str">
        <f>E7</f>
        <v>Horky nad Jizerou - oprava vodovodu při stavbě KNL - II. etapa</v>
      </c>
      <c r="F85" s="319"/>
      <c r="G85" s="319"/>
      <c r="H85" s="319"/>
      <c r="L85" s="98"/>
    </row>
    <row r="86" spans="2:12" ht="12" customHeight="1" x14ac:dyDescent="0.2">
      <c r="B86" s="94"/>
      <c r="C86" s="97" t="s">
        <v>97</v>
      </c>
      <c r="L86" s="94"/>
    </row>
    <row r="87" spans="2:12" s="99" customFormat="1" ht="16.5" customHeight="1" x14ac:dyDescent="0.2">
      <c r="B87" s="98"/>
      <c r="E87" s="318" t="s">
        <v>730</v>
      </c>
      <c r="F87" s="317"/>
      <c r="G87" s="317"/>
      <c r="H87" s="317"/>
      <c r="L87" s="98"/>
    </row>
    <row r="88" spans="2:12" s="99" customFormat="1" ht="12" customHeight="1" x14ac:dyDescent="0.2">
      <c r="B88" s="98"/>
      <c r="C88" s="97" t="s">
        <v>731</v>
      </c>
      <c r="L88" s="98"/>
    </row>
    <row r="89" spans="2:12" s="99" customFormat="1" ht="16.5" customHeight="1" x14ac:dyDescent="0.2">
      <c r="B89" s="98"/>
      <c r="E89" s="316" t="str">
        <f>E11</f>
        <v>02.2 - SO 02.2 Přeložky plynovodu</v>
      </c>
      <c r="F89" s="317"/>
      <c r="G89" s="317"/>
      <c r="H89" s="317"/>
      <c r="L89" s="98"/>
    </row>
    <row r="90" spans="2:12" s="99" customFormat="1" ht="6.95" customHeight="1" x14ac:dyDescent="0.2">
      <c r="B90" s="98"/>
      <c r="L90" s="98"/>
    </row>
    <row r="91" spans="2:12" s="99" customFormat="1" ht="12" customHeight="1" x14ac:dyDescent="0.2">
      <c r="B91" s="98"/>
      <c r="C91" s="97" t="s">
        <v>20</v>
      </c>
      <c r="F91" s="102" t="str">
        <f>F14</f>
        <v xml:space="preserve"> </v>
      </c>
      <c r="I91" s="97" t="s">
        <v>22</v>
      </c>
      <c r="J91" s="103" t="str">
        <f>IF(J14="","",J14)</f>
        <v>4. 11. 2024</v>
      </c>
      <c r="L91" s="98"/>
    </row>
    <row r="92" spans="2:12" s="99" customFormat="1" ht="6.95" customHeight="1" x14ac:dyDescent="0.2">
      <c r="B92" s="98"/>
      <c r="L92" s="98"/>
    </row>
    <row r="93" spans="2:12" s="99" customFormat="1" ht="15.2" customHeight="1" x14ac:dyDescent="0.2">
      <c r="B93" s="98"/>
      <c r="C93" s="97" t="s">
        <v>24</v>
      </c>
      <c r="F93" s="102" t="str">
        <f>E17</f>
        <v xml:space="preserve"> </v>
      </c>
      <c r="I93" s="97" t="s">
        <v>29</v>
      </c>
      <c r="J93" s="130" t="str">
        <f>E23</f>
        <v xml:space="preserve"> </v>
      </c>
      <c r="L93" s="98"/>
    </row>
    <row r="94" spans="2:12" s="99" customFormat="1" ht="15.2" customHeight="1" x14ac:dyDescent="0.2">
      <c r="B94" s="98"/>
      <c r="C94" s="97" t="s">
        <v>27</v>
      </c>
      <c r="F94" s="102" t="str">
        <f>IF(E20="","",E20)</f>
        <v>Vyplň údaj</v>
      </c>
      <c r="I94" s="97" t="s">
        <v>31</v>
      </c>
      <c r="J94" s="130" t="str">
        <f>E26</f>
        <v xml:space="preserve"> </v>
      </c>
      <c r="L94" s="98"/>
    </row>
    <row r="95" spans="2:12" s="99" customFormat="1" ht="10.35" customHeight="1" x14ac:dyDescent="0.2">
      <c r="B95" s="98"/>
      <c r="L95" s="98"/>
    </row>
    <row r="96" spans="2:12" s="99" customFormat="1" ht="29.25" customHeight="1" x14ac:dyDescent="0.2">
      <c r="B96" s="98"/>
      <c r="C96" s="131" t="s">
        <v>100</v>
      </c>
      <c r="J96" s="132" t="s">
        <v>101</v>
      </c>
      <c r="K96" s="113"/>
      <c r="L96" s="98"/>
    </row>
    <row r="97" spans="2:47" s="99" customFormat="1" ht="10.35" customHeight="1" x14ac:dyDescent="0.2">
      <c r="B97" s="98"/>
      <c r="L97" s="98"/>
    </row>
    <row r="98" spans="2:47" s="99" customFormat="1" ht="22.9" customHeight="1" x14ac:dyDescent="0.2">
      <c r="B98" s="98"/>
      <c r="C98" s="133" t="s">
        <v>102</v>
      </c>
      <c r="J98" s="134">
        <f>J99+J107</f>
        <v>0</v>
      </c>
      <c r="L98" s="98"/>
      <c r="AU98" s="90" t="s">
        <v>103</v>
      </c>
    </row>
    <row r="99" spans="2:47" s="136" customFormat="1" ht="24.95" customHeight="1" x14ac:dyDescent="0.2">
      <c r="B99" s="135"/>
      <c r="D99" s="137" t="s">
        <v>104</v>
      </c>
      <c r="E99" s="138"/>
      <c r="F99" s="138"/>
      <c r="G99" s="138"/>
      <c r="H99" s="138"/>
      <c r="I99" s="138"/>
      <c r="J99" s="139">
        <f>SUM(J100:J106)</f>
        <v>0</v>
      </c>
      <c r="L99" s="135"/>
    </row>
    <row r="100" spans="2:47" s="142" customFormat="1" ht="19.899999999999999" customHeight="1" x14ac:dyDescent="0.2">
      <c r="B100" s="141"/>
      <c r="D100" s="143" t="s">
        <v>105</v>
      </c>
      <c r="E100" s="144"/>
      <c r="F100" s="144"/>
      <c r="G100" s="144"/>
      <c r="H100" s="144"/>
      <c r="I100" s="144"/>
      <c r="J100" s="145">
        <f>J132</f>
        <v>0</v>
      </c>
      <c r="L100" s="141"/>
    </row>
    <row r="101" spans="2:47" s="142" customFormat="1" ht="19.899999999999999" customHeight="1" x14ac:dyDescent="0.2">
      <c r="B101" s="141"/>
      <c r="D101" s="143" t="s">
        <v>106</v>
      </c>
      <c r="E101" s="144"/>
      <c r="F101" s="144"/>
      <c r="G101" s="144"/>
      <c r="H101" s="144"/>
      <c r="I101" s="144"/>
      <c r="J101" s="145">
        <f>J193</f>
        <v>0</v>
      </c>
      <c r="L101" s="141"/>
    </row>
    <row r="102" spans="2:47" s="142" customFormat="1" ht="19.899999999999999" customHeight="1" x14ac:dyDescent="0.2">
      <c r="B102" s="141"/>
      <c r="D102" s="143" t="s">
        <v>107</v>
      </c>
      <c r="E102" s="144"/>
      <c r="F102" s="144"/>
      <c r="G102" s="144"/>
      <c r="H102" s="144"/>
      <c r="I102" s="144"/>
      <c r="J102" s="145">
        <f>J198</f>
        <v>0</v>
      </c>
      <c r="L102" s="141"/>
    </row>
    <row r="103" spans="2:47" s="142" customFormat="1" ht="19.899999999999999" customHeight="1" x14ac:dyDescent="0.2">
      <c r="B103" s="141"/>
      <c r="D103" s="143" t="s">
        <v>108</v>
      </c>
      <c r="E103" s="144"/>
      <c r="F103" s="144"/>
      <c r="G103" s="144"/>
      <c r="H103" s="144"/>
      <c r="I103" s="144"/>
      <c r="J103" s="145">
        <f>J209</f>
        <v>0</v>
      </c>
      <c r="L103" s="141"/>
    </row>
    <row r="104" spans="2:47" s="142" customFormat="1" ht="19.899999999999999" customHeight="1" x14ac:dyDescent="0.2">
      <c r="B104" s="141"/>
      <c r="D104" s="143" t="s">
        <v>109</v>
      </c>
      <c r="E104" s="144"/>
      <c r="F104" s="144"/>
      <c r="G104" s="144"/>
      <c r="H104" s="144"/>
      <c r="I104" s="144"/>
      <c r="J104" s="145">
        <f>J217</f>
        <v>0</v>
      </c>
      <c r="L104" s="141"/>
    </row>
    <row r="105" spans="2:47" s="142" customFormat="1" ht="19.899999999999999" customHeight="1" x14ac:dyDescent="0.2">
      <c r="B105" s="141"/>
      <c r="D105" s="143" t="s">
        <v>110</v>
      </c>
      <c r="E105" s="144"/>
      <c r="F105" s="144"/>
      <c r="G105" s="144"/>
      <c r="H105" s="144"/>
      <c r="I105" s="144"/>
      <c r="J105" s="145">
        <f>J222</f>
        <v>0</v>
      </c>
      <c r="L105" s="141"/>
    </row>
    <row r="106" spans="2:47" s="142" customFormat="1" ht="19.899999999999999" customHeight="1" x14ac:dyDescent="0.2">
      <c r="B106" s="141"/>
      <c r="D106" s="143" t="s">
        <v>111</v>
      </c>
      <c r="E106" s="144"/>
      <c r="F106" s="144"/>
      <c r="G106" s="144"/>
      <c r="H106" s="144"/>
      <c r="I106" s="144"/>
      <c r="J106" s="145">
        <f>J227</f>
        <v>0</v>
      </c>
      <c r="L106" s="141"/>
    </row>
    <row r="107" spans="2:47" s="136" customFormat="1" ht="24.95" customHeight="1" x14ac:dyDescent="0.2">
      <c r="B107" s="135"/>
      <c r="D107" s="137" t="s">
        <v>613</v>
      </c>
      <c r="E107" s="138"/>
      <c r="F107" s="138"/>
      <c r="G107" s="138"/>
      <c r="H107" s="138"/>
      <c r="I107" s="138"/>
      <c r="J107" s="139">
        <f>J229</f>
        <v>0</v>
      </c>
      <c r="L107" s="135"/>
    </row>
    <row r="108" spans="2:47" s="142" customFormat="1" ht="19.899999999999999" customHeight="1" x14ac:dyDescent="0.2">
      <c r="B108" s="141"/>
      <c r="D108" s="143" t="s">
        <v>614</v>
      </c>
      <c r="E108" s="144"/>
      <c r="F108" s="144"/>
      <c r="G108" s="144"/>
      <c r="H108" s="144"/>
      <c r="I108" s="144"/>
      <c r="J108" s="145">
        <f>J230</f>
        <v>0</v>
      </c>
      <c r="L108" s="141"/>
    </row>
    <row r="109" spans="2:47" s="99" customFormat="1" ht="45" customHeight="1" x14ac:dyDescent="0.2">
      <c r="B109" s="98"/>
      <c r="E109" s="325" t="s">
        <v>1091</v>
      </c>
      <c r="F109" s="325"/>
      <c r="G109" s="325"/>
      <c r="H109" s="325"/>
      <c r="I109" s="325"/>
      <c r="L109" s="98"/>
    </row>
    <row r="110" spans="2:47" s="99" customFormat="1" ht="6.95" customHeight="1" x14ac:dyDescent="0.2">
      <c r="B110" s="126"/>
      <c r="C110" s="127"/>
      <c r="D110" s="127"/>
      <c r="E110" s="127"/>
      <c r="F110" s="127"/>
      <c r="G110" s="127"/>
      <c r="H110" s="127"/>
      <c r="I110" s="127"/>
      <c r="J110" s="127"/>
      <c r="K110" s="127"/>
      <c r="L110" s="98"/>
    </row>
    <row r="114" spans="2:12" s="99" customFormat="1" ht="6.95" customHeight="1" x14ac:dyDescent="0.2">
      <c r="B114" s="128"/>
      <c r="C114" s="129"/>
      <c r="D114" s="129"/>
      <c r="E114" s="129"/>
      <c r="F114" s="129"/>
      <c r="G114" s="129"/>
      <c r="H114" s="129"/>
      <c r="I114" s="129"/>
      <c r="J114" s="129"/>
      <c r="K114" s="129"/>
      <c r="L114" s="98"/>
    </row>
    <row r="115" spans="2:12" s="99" customFormat="1" ht="24.95" customHeight="1" x14ac:dyDescent="0.2">
      <c r="B115" s="98"/>
      <c r="C115" s="95" t="s">
        <v>112</v>
      </c>
      <c r="L115" s="98"/>
    </row>
    <row r="116" spans="2:12" s="99" customFormat="1" ht="6.95" customHeight="1" x14ac:dyDescent="0.2">
      <c r="B116" s="98"/>
      <c r="L116" s="98"/>
    </row>
    <row r="117" spans="2:12" s="99" customFormat="1" ht="12" customHeight="1" x14ac:dyDescent="0.2">
      <c r="B117" s="98"/>
      <c r="C117" s="97" t="s">
        <v>16</v>
      </c>
      <c r="L117" s="98"/>
    </row>
    <row r="118" spans="2:12" s="99" customFormat="1" ht="16.5" customHeight="1" x14ac:dyDescent="0.2">
      <c r="B118" s="98"/>
      <c r="E118" s="318" t="str">
        <f>E7</f>
        <v>Horky nad Jizerou - oprava vodovodu při stavbě KNL - II. etapa</v>
      </c>
      <c r="F118" s="319"/>
      <c r="G118" s="319"/>
      <c r="H118" s="319"/>
      <c r="L118" s="98"/>
    </row>
    <row r="119" spans="2:12" ht="12" customHeight="1" x14ac:dyDescent="0.2">
      <c r="B119" s="94"/>
      <c r="C119" s="97" t="s">
        <v>97</v>
      </c>
      <c r="L119" s="94"/>
    </row>
    <row r="120" spans="2:12" s="99" customFormat="1" ht="16.5" customHeight="1" x14ac:dyDescent="0.2">
      <c r="B120" s="98"/>
      <c r="E120" s="318" t="s">
        <v>730</v>
      </c>
      <c r="F120" s="317"/>
      <c r="G120" s="317"/>
      <c r="H120" s="317"/>
      <c r="L120" s="98"/>
    </row>
    <row r="121" spans="2:12" s="99" customFormat="1" ht="12" customHeight="1" x14ac:dyDescent="0.2">
      <c r="B121" s="98"/>
      <c r="C121" s="97" t="s">
        <v>731</v>
      </c>
      <c r="L121" s="98"/>
    </row>
    <row r="122" spans="2:12" s="99" customFormat="1" ht="16.5" customHeight="1" x14ac:dyDescent="0.2">
      <c r="B122" s="98"/>
      <c r="E122" s="316" t="str">
        <f>E11</f>
        <v>02.2 - SO 02.2 Přeložky plynovodu</v>
      </c>
      <c r="F122" s="317"/>
      <c r="G122" s="317"/>
      <c r="H122" s="317"/>
      <c r="L122" s="98"/>
    </row>
    <row r="123" spans="2:12" s="99" customFormat="1" ht="6.95" customHeight="1" x14ac:dyDescent="0.2">
      <c r="B123" s="98"/>
      <c r="L123" s="98"/>
    </row>
    <row r="124" spans="2:12" s="99" customFormat="1" ht="12" customHeight="1" x14ac:dyDescent="0.2">
      <c r="B124" s="98"/>
      <c r="C124" s="97" t="s">
        <v>20</v>
      </c>
      <c r="F124" s="102" t="str">
        <f>F14</f>
        <v xml:space="preserve"> </v>
      </c>
      <c r="I124" s="97" t="s">
        <v>22</v>
      </c>
      <c r="J124" s="103" t="str">
        <f>IF(J14="","",J14)</f>
        <v>4. 11. 2024</v>
      </c>
      <c r="L124" s="98"/>
    </row>
    <row r="125" spans="2:12" s="99" customFormat="1" ht="6.95" customHeight="1" x14ac:dyDescent="0.2">
      <c r="B125" s="98"/>
      <c r="L125" s="98"/>
    </row>
    <row r="126" spans="2:12" s="99" customFormat="1" ht="15.2" customHeight="1" x14ac:dyDescent="0.2">
      <c r="B126" s="98"/>
      <c r="C126" s="97" t="s">
        <v>24</v>
      </c>
      <c r="F126" s="102" t="str">
        <f>E17</f>
        <v xml:space="preserve"> </v>
      </c>
      <c r="I126" s="97" t="s">
        <v>29</v>
      </c>
      <c r="J126" s="130" t="str">
        <f>E23</f>
        <v xml:space="preserve"> </v>
      </c>
      <c r="L126" s="98"/>
    </row>
    <row r="127" spans="2:12" s="99" customFormat="1" ht="15.2" customHeight="1" x14ac:dyDescent="0.2">
      <c r="B127" s="98"/>
      <c r="C127" s="97" t="s">
        <v>27</v>
      </c>
      <c r="F127" s="102" t="str">
        <f>IF(E20="","",E20)</f>
        <v>Vyplň údaj</v>
      </c>
      <c r="I127" s="97" t="s">
        <v>31</v>
      </c>
      <c r="J127" s="130" t="str">
        <f>E26</f>
        <v xml:space="preserve"> </v>
      </c>
      <c r="L127" s="98"/>
    </row>
    <row r="128" spans="2:12" s="99" customFormat="1" ht="10.35" customHeight="1" x14ac:dyDescent="0.2">
      <c r="B128" s="98"/>
      <c r="L128" s="98"/>
    </row>
    <row r="129" spans="2:65" s="155" customFormat="1" ht="29.25" customHeight="1" x14ac:dyDescent="0.2">
      <c r="B129" s="147"/>
      <c r="C129" s="148" t="s">
        <v>113</v>
      </c>
      <c r="D129" s="149" t="s">
        <v>57</v>
      </c>
      <c r="E129" s="149" t="s">
        <v>54</v>
      </c>
      <c r="F129" s="149" t="s">
        <v>55</v>
      </c>
      <c r="G129" s="149" t="s">
        <v>114</v>
      </c>
      <c r="H129" s="149" t="s">
        <v>115</v>
      </c>
      <c r="I129" s="149" t="s">
        <v>116</v>
      </c>
      <c r="J129" s="150" t="s">
        <v>101</v>
      </c>
      <c r="K129" s="151" t="s">
        <v>117</v>
      </c>
      <c r="L129" s="147"/>
      <c r="M129" s="152" t="s">
        <v>1</v>
      </c>
      <c r="N129" s="153" t="s">
        <v>37</v>
      </c>
      <c r="O129" s="153" t="s">
        <v>118</v>
      </c>
      <c r="P129" s="153" t="s">
        <v>119</v>
      </c>
      <c r="Q129" s="153" t="s">
        <v>120</v>
      </c>
      <c r="R129" s="153" t="s">
        <v>121</v>
      </c>
      <c r="S129" s="153" t="s">
        <v>122</v>
      </c>
      <c r="T129" s="154" t="s">
        <v>123</v>
      </c>
    </row>
    <row r="130" spans="2:65" s="99" customFormat="1" ht="22.9" customHeight="1" x14ac:dyDescent="0.25">
      <c r="B130" s="98"/>
      <c r="C130" s="156" t="s">
        <v>124</v>
      </c>
      <c r="J130" s="157">
        <f>J98</f>
        <v>0</v>
      </c>
      <c r="L130" s="98"/>
      <c r="M130" s="159"/>
      <c r="N130" s="106"/>
      <c r="O130" s="106"/>
      <c r="P130" s="160" t="e">
        <f>P131+P229</f>
        <v>#REF!</v>
      </c>
      <c r="Q130" s="106"/>
      <c r="R130" s="160">
        <f>R131+R229</f>
        <v>7.1524299999999999E-2</v>
      </c>
      <c r="S130" s="106"/>
      <c r="T130" s="161">
        <f>T131+T229</f>
        <v>5.9219999999999997</v>
      </c>
      <c r="AT130" s="90" t="s">
        <v>71</v>
      </c>
      <c r="AU130" s="90" t="s">
        <v>103</v>
      </c>
      <c r="BK130" s="162" t="e">
        <f>BK131+BK229</f>
        <v>#REF!</v>
      </c>
    </row>
    <row r="131" spans="2:65" s="164" customFormat="1" ht="25.9" customHeight="1" x14ac:dyDescent="0.2">
      <c r="B131" s="163"/>
      <c r="D131" s="165" t="s">
        <v>71</v>
      </c>
      <c r="E131" s="166" t="s">
        <v>125</v>
      </c>
      <c r="F131" s="166" t="s">
        <v>126</v>
      </c>
      <c r="J131" s="167">
        <f>J99</f>
        <v>0</v>
      </c>
      <c r="L131" s="163"/>
      <c r="M131" s="169"/>
      <c r="P131" s="170" t="e">
        <f>P132+P193+P198+P209+P217+P222+P227</f>
        <v>#REF!</v>
      </c>
      <c r="R131" s="170">
        <f>R132+R193+R198+R209+R217+R222+R227</f>
        <v>3.8372400000000001E-2</v>
      </c>
      <c r="T131" s="171">
        <f>T132+T193+T198+T209+T217+T222+T227</f>
        <v>5.9219999999999997</v>
      </c>
      <c r="AR131" s="165" t="s">
        <v>80</v>
      </c>
      <c r="AT131" s="172" t="s">
        <v>71</v>
      </c>
      <c r="AU131" s="172" t="s">
        <v>72</v>
      </c>
      <c r="AY131" s="165" t="s">
        <v>127</v>
      </c>
      <c r="BK131" s="173" t="e">
        <f>BK132+BK193+BK198+BK209+BK217+BK222+BK227</f>
        <v>#REF!</v>
      </c>
    </row>
    <row r="132" spans="2:65" s="164" customFormat="1" ht="22.9" customHeight="1" x14ac:dyDescent="0.2">
      <c r="B132" s="163"/>
      <c r="D132" s="165" t="s">
        <v>71</v>
      </c>
      <c r="E132" s="174" t="s">
        <v>80</v>
      </c>
      <c r="F132" s="174" t="s">
        <v>128</v>
      </c>
      <c r="J132" s="175">
        <f>SUM(J133:J191)</f>
        <v>0</v>
      </c>
      <c r="L132" s="163"/>
      <c r="M132" s="169"/>
      <c r="P132" s="170">
        <f>SUM(P133:P186)</f>
        <v>0</v>
      </c>
      <c r="R132" s="170">
        <f>SUM(R133:R186)</f>
        <v>2.223E-2</v>
      </c>
      <c r="T132" s="171">
        <f>SUM(T133:T186)</f>
        <v>5.9219999999999997</v>
      </c>
      <c r="AR132" s="165" t="s">
        <v>80</v>
      </c>
      <c r="AT132" s="172" t="s">
        <v>71</v>
      </c>
      <c r="AU132" s="172" t="s">
        <v>80</v>
      </c>
      <c r="AY132" s="165" t="s">
        <v>127</v>
      </c>
      <c r="BK132" s="173">
        <f>SUM(BK133:BK186)</f>
        <v>0</v>
      </c>
    </row>
    <row r="133" spans="2:65" s="99" customFormat="1" ht="24.2" customHeight="1" x14ac:dyDescent="0.2">
      <c r="B133" s="98"/>
      <c r="C133" s="176" t="s">
        <v>80</v>
      </c>
      <c r="D133" s="176" t="s">
        <v>129</v>
      </c>
      <c r="E133" s="177" t="s">
        <v>733</v>
      </c>
      <c r="F133" s="178" t="s">
        <v>734</v>
      </c>
      <c r="G133" s="179" t="s">
        <v>130</v>
      </c>
      <c r="H133" s="180">
        <f>H134</f>
        <v>9</v>
      </c>
      <c r="I133" s="80"/>
      <c r="J133" s="181">
        <f>ROUND(I133*H133,2)</f>
        <v>0</v>
      </c>
      <c r="K133" s="182"/>
      <c r="L133" s="98"/>
      <c r="M133" s="183" t="s">
        <v>1</v>
      </c>
      <c r="N133" s="184" t="s">
        <v>38</v>
      </c>
      <c r="P133" s="185">
        <f>O133*H133</f>
        <v>0</v>
      </c>
      <c r="Q133" s="185">
        <v>0</v>
      </c>
      <c r="R133" s="185">
        <f>Q133*H133</f>
        <v>0</v>
      </c>
      <c r="S133" s="185">
        <v>0.44</v>
      </c>
      <c r="T133" s="186">
        <f>S133*H133</f>
        <v>3.96</v>
      </c>
      <c r="AR133" s="131" t="s">
        <v>131</v>
      </c>
      <c r="AT133" s="131" t="s">
        <v>129</v>
      </c>
      <c r="AU133" s="131" t="s">
        <v>82</v>
      </c>
      <c r="AY133" s="90" t="s">
        <v>127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90" t="s">
        <v>80</v>
      </c>
      <c r="BK133" s="187">
        <f>ROUND(I133*H133,2)</f>
        <v>0</v>
      </c>
      <c r="BL133" s="90" t="s">
        <v>131</v>
      </c>
      <c r="BM133" s="131" t="s">
        <v>735</v>
      </c>
    </row>
    <row r="134" spans="2:65" s="189" customFormat="1" x14ac:dyDescent="0.2">
      <c r="B134" s="188"/>
      <c r="D134" s="190" t="s">
        <v>132</v>
      </c>
      <c r="E134" s="191" t="s">
        <v>1</v>
      </c>
      <c r="F134" s="192" t="s">
        <v>1042</v>
      </c>
      <c r="H134" s="193">
        <f>0.6*15</f>
        <v>9</v>
      </c>
      <c r="I134" s="82"/>
      <c r="L134" s="188"/>
      <c r="M134" s="194"/>
      <c r="T134" s="195"/>
      <c r="AT134" s="191" t="s">
        <v>132</v>
      </c>
      <c r="AU134" s="191" t="s">
        <v>82</v>
      </c>
      <c r="AV134" s="189" t="s">
        <v>82</v>
      </c>
      <c r="AW134" s="189" t="s">
        <v>30</v>
      </c>
      <c r="AX134" s="189" t="s">
        <v>72</v>
      </c>
      <c r="AY134" s="191" t="s">
        <v>127</v>
      </c>
    </row>
    <row r="135" spans="2:65" s="99" customFormat="1" ht="24.2" customHeight="1" x14ac:dyDescent="0.2">
      <c r="B135" s="98"/>
      <c r="C135" s="176" t="s">
        <v>82</v>
      </c>
      <c r="D135" s="176" t="s">
        <v>129</v>
      </c>
      <c r="E135" s="177" t="s">
        <v>736</v>
      </c>
      <c r="F135" s="178" t="s">
        <v>957</v>
      </c>
      <c r="G135" s="179" t="s">
        <v>130</v>
      </c>
      <c r="H135" s="180">
        <f>H136</f>
        <v>9</v>
      </c>
      <c r="I135" s="80"/>
      <c r="J135" s="181">
        <f>ROUND(I135*H135,2)</f>
        <v>0</v>
      </c>
      <c r="K135" s="182"/>
      <c r="L135" s="98"/>
      <c r="M135" s="183" t="s">
        <v>1</v>
      </c>
      <c r="N135" s="184" t="s">
        <v>38</v>
      </c>
      <c r="P135" s="185">
        <f>O135*H135</f>
        <v>0</v>
      </c>
      <c r="Q135" s="185">
        <v>0</v>
      </c>
      <c r="R135" s="185">
        <f>Q135*H135</f>
        <v>0</v>
      </c>
      <c r="S135" s="185">
        <v>0.115</v>
      </c>
      <c r="T135" s="186">
        <f>S135*H135</f>
        <v>1.0350000000000001</v>
      </c>
      <c r="AR135" s="131" t="s">
        <v>131</v>
      </c>
      <c r="AT135" s="131" t="s">
        <v>129</v>
      </c>
      <c r="AU135" s="131" t="s">
        <v>82</v>
      </c>
      <c r="AY135" s="90" t="s">
        <v>127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90" t="s">
        <v>80</v>
      </c>
      <c r="BK135" s="187">
        <f>ROUND(I135*H135,2)</f>
        <v>0</v>
      </c>
      <c r="BL135" s="90" t="s">
        <v>131</v>
      </c>
      <c r="BM135" s="131" t="s">
        <v>737</v>
      </c>
    </row>
    <row r="136" spans="2:65" s="189" customFormat="1" x14ac:dyDescent="0.2">
      <c r="B136" s="188"/>
      <c r="D136" s="190" t="s">
        <v>132</v>
      </c>
      <c r="E136" s="191" t="s">
        <v>1</v>
      </c>
      <c r="F136" s="192" t="s">
        <v>1042</v>
      </c>
      <c r="H136" s="193">
        <f>0.6*15</f>
        <v>9</v>
      </c>
      <c r="I136" s="82"/>
      <c r="L136" s="188"/>
      <c r="M136" s="194"/>
      <c r="T136" s="195"/>
      <c r="AT136" s="191" t="s">
        <v>132</v>
      </c>
      <c r="AU136" s="191" t="s">
        <v>82</v>
      </c>
      <c r="AV136" s="189" t="s">
        <v>82</v>
      </c>
      <c r="AW136" s="189" t="s">
        <v>30</v>
      </c>
      <c r="AX136" s="189" t="s">
        <v>72</v>
      </c>
      <c r="AY136" s="191" t="s">
        <v>127</v>
      </c>
    </row>
    <row r="137" spans="2:65" s="99" customFormat="1" ht="21.75" customHeight="1" x14ac:dyDescent="0.2">
      <c r="B137" s="98"/>
      <c r="C137" s="176" t="s">
        <v>134</v>
      </c>
      <c r="D137" s="176" t="s">
        <v>129</v>
      </c>
      <c r="E137" s="177" t="s">
        <v>620</v>
      </c>
      <c r="F137" s="178" t="s">
        <v>621</v>
      </c>
      <c r="G137" s="179" t="s">
        <v>130</v>
      </c>
      <c r="H137" s="180">
        <f>H138</f>
        <v>9</v>
      </c>
      <c r="I137" s="80"/>
      <c r="J137" s="181">
        <f>ROUND(I137*H137,2)</f>
        <v>0</v>
      </c>
      <c r="K137" s="182"/>
      <c r="L137" s="98"/>
      <c r="M137" s="183" t="s">
        <v>1</v>
      </c>
      <c r="N137" s="184" t="s">
        <v>38</v>
      </c>
      <c r="P137" s="185">
        <f>O137*H137</f>
        <v>0</v>
      </c>
      <c r="Q137" s="185">
        <v>1.0000000000000001E-5</v>
      </c>
      <c r="R137" s="185">
        <f>Q137*H137</f>
        <v>9.0000000000000006E-5</v>
      </c>
      <c r="S137" s="185">
        <v>0.10299999999999999</v>
      </c>
      <c r="T137" s="186">
        <f>S137*H137</f>
        <v>0.92699999999999994</v>
      </c>
      <c r="AR137" s="131" t="s">
        <v>131</v>
      </c>
      <c r="AT137" s="131" t="s">
        <v>129</v>
      </c>
      <c r="AU137" s="131" t="s">
        <v>82</v>
      </c>
      <c r="AY137" s="90" t="s">
        <v>127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90" t="s">
        <v>80</v>
      </c>
      <c r="BK137" s="187">
        <f>ROUND(I137*H137,2)</f>
        <v>0</v>
      </c>
      <c r="BL137" s="90" t="s">
        <v>131</v>
      </c>
      <c r="BM137" s="131" t="s">
        <v>738</v>
      </c>
    </row>
    <row r="138" spans="2:65" s="189" customFormat="1" x14ac:dyDescent="0.2">
      <c r="B138" s="188"/>
      <c r="D138" s="190" t="s">
        <v>132</v>
      </c>
      <c r="E138" s="191" t="s">
        <v>1</v>
      </c>
      <c r="F138" s="192" t="s">
        <v>1042</v>
      </c>
      <c r="H138" s="193">
        <f>0.6*15</f>
        <v>9</v>
      </c>
      <c r="I138" s="82"/>
      <c r="L138" s="188"/>
      <c r="M138" s="194"/>
      <c r="T138" s="195"/>
      <c r="AT138" s="191" t="s">
        <v>132</v>
      </c>
      <c r="AU138" s="191" t="s">
        <v>82</v>
      </c>
      <c r="AV138" s="189" t="s">
        <v>82</v>
      </c>
      <c r="AW138" s="189" t="s">
        <v>30</v>
      </c>
      <c r="AX138" s="189" t="s">
        <v>72</v>
      </c>
      <c r="AY138" s="191" t="s">
        <v>127</v>
      </c>
    </row>
    <row r="139" spans="2:65" s="99" customFormat="1" ht="24.2" customHeight="1" x14ac:dyDescent="0.2">
      <c r="B139" s="98"/>
      <c r="C139" s="176" t="s">
        <v>131</v>
      </c>
      <c r="D139" s="176" t="s">
        <v>129</v>
      </c>
      <c r="E139" s="177" t="s">
        <v>171</v>
      </c>
      <c r="F139" s="178" t="s">
        <v>974</v>
      </c>
      <c r="G139" s="179" t="s">
        <v>160</v>
      </c>
      <c r="H139" s="180">
        <v>0.6</v>
      </c>
      <c r="I139" s="80"/>
      <c r="J139" s="181">
        <f>ROUND(I139*H139,2)</f>
        <v>0</v>
      </c>
      <c r="K139" s="182"/>
      <c r="L139" s="98"/>
      <c r="M139" s="183" t="s">
        <v>1</v>
      </c>
      <c r="N139" s="184" t="s">
        <v>38</v>
      </c>
      <c r="P139" s="185">
        <f>O139*H139</f>
        <v>0</v>
      </c>
      <c r="Q139" s="185">
        <v>3.6900000000000002E-2</v>
      </c>
      <c r="R139" s="185">
        <f>Q139*H139</f>
        <v>2.214E-2</v>
      </c>
      <c r="S139" s="185">
        <v>0</v>
      </c>
      <c r="T139" s="186">
        <f>S139*H139</f>
        <v>0</v>
      </c>
      <c r="AR139" s="131" t="s">
        <v>131</v>
      </c>
      <c r="AT139" s="131" t="s">
        <v>129</v>
      </c>
      <c r="AU139" s="131" t="s">
        <v>82</v>
      </c>
      <c r="AY139" s="90" t="s">
        <v>127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90" t="s">
        <v>80</v>
      </c>
      <c r="BK139" s="187">
        <f>ROUND(I139*H139,2)</f>
        <v>0</v>
      </c>
      <c r="BL139" s="90" t="s">
        <v>131</v>
      </c>
      <c r="BM139" s="131" t="s">
        <v>739</v>
      </c>
    </row>
    <row r="140" spans="2:65" s="189" customFormat="1" x14ac:dyDescent="0.2">
      <c r="B140" s="188"/>
      <c r="D140" s="190" t="s">
        <v>132</v>
      </c>
      <c r="E140" s="191" t="s">
        <v>1</v>
      </c>
      <c r="F140" s="192" t="s">
        <v>740</v>
      </c>
      <c r="H140" s="193">
        <v>0.6</v>
      </c>
      <c r="I140" s="82"/>
      <c r="L140" s="188"/>
      <c r="M140" s="194"/>
      <c r="T140" s="195"/>
      <c r="AT140" s="191" t="s">
        <v>132</v>
      </c>
      <c r="AU140" s="191" t="s">
        <v>82</v>
      </c>
      <c r="AV140" s="189" t="s">
        <v>82</v>
      </c>
      <c r="AW140" s="189" t="s">
        <v>30</v>
      </c>
      <c r="AX140" s="189" t="s">
        <v>72</v>
      </c>
      <c r="AY140" s="191" t="s">
        <v>127</v>
      </c>
    </row>
    <row r="141" spans="2:65" s="198" customFormat="1" x14ac:dyDescent="0.2">
      <c r="B141" s="197"/>
      <c r="D141" s="190" t="s">
        <v>132</v>
      </c>
      <c r="E141" s="199" t="s">
        <v>1</v>
      </c>
      <c r="F141" s="200" t="s">
        <v>133</v>
      </c>
      <c r="H141" s="201">
        <v>0.6</v>
      </c>
      <c r="I141" s="83"/>
      <c r="L141" s="197"/>
      <c r="M141" s="203"/>
      <c r="T141" s="204"/>
      <c r="AT141" s="199" t="s">
        <v>132</v>
      </c>
      <c r="AU141" s="199" t="s">
        <v>82</v>
      </c>
      <c r="AV141" s="198" t="s">
        <v>131</v>
      </c>
      <c r="AW141" s="198" t="s">
        <v>30</v>
      </c>
      <c r="AX141" s="198" t="s">
        <v>80</v>
      </c>
      <c r="AY141" s="199" t="s">
        <v>127</v>
      </c>
    </row>
    <row r="142" spans="2:65" s="99" customFormat="1" ht="24.2" customHeight="1" x14ac:dyDescent="0.2">
      <c r="B142" s="98"/>
      <c r="C142" s="176">
        <v>5</v>
      </c>
      <c r="D142" s="176" t="s">
        <v>129</v>
      </c>
      <c r="E142" s="177" t="s">
        <v>175</v>
      </c>
      <c r="F142" s="178" t="s">
        <v>1053</v>
      </c>
      <c r="G142" s="179" t="s">
        <v>130</v>
      </c>
      <c r="H142" s="180">
        <f>H143</f>
        <v>24</v>
      </c>
      <c r="I142" s="80"/>
      <c r="J142" s="181">
        <f>ROUND(I142*H142,2)</f>
        <v>0</v>
      </c>
      <c r="K142" s="182"/>
      <c r="L142" s="98"/>
      <c r="M142" s="183" t="s">
        <v>1</v>
      </c>
      <c r="N142" s="184" t="s">
        <v>38</v>
      </c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AR142" s="131" t="s">
        <v>131</v>
      </c>
      <c r="AT142" s="131" t="s">
        <v>129</v>
      </c>
      <c r="AU142" s="131" t="s">
        <v>82</v>
      </c>
      <c r="AY142" s="90" t="s">
        <v>127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90" t="s">
        <v>80</v>
      </c>
      <c r="BK142" s="187">
        <f>ROUND(I142*H142,2)</f>
        <v>0</v>
      </c>
      <c r="BL142" s="90" t="s">
        <v>131</v>
      </c>
      <c r="BM142" s="131" t="s">
        <v>624</v>
      </c>
    </row>
    <row r="143" spans="2:65" s="189" customFormat="1" x14ac:dyDescent="0.2">
      <c r="B143" s="188"/>
      <c r="D143" s="190" t="s">
        <v>132</v>
      </c>
      <c r="E143" s="191" t="s">
        <v>1</v>
      </c>
      <c r="F143" s="192" t="s">
        <v>1052</v>
      </c>
      <c r="H143" s="193">
        <f>0.8*30</f>
        <v>24</v>
      </c>
      <c r="I143" s="82"/>
      <c r="L143" s="188"/>
      <c r="M143" s="194"/>
      <c r="T143" s="195"/>
      <c r="AT143" s="191" t="s">
        <v>132</v>
      </c>
      <c r="AU143" s="191" t="s">
        <v>82</v>
      </c>
      <c r="AV143" s="189" t="s">
        <v>82</v>
      </c>
      <c r="AW143" s="189" t="s">
        <v>30</v>
      </c>
      <c r="AX143" s="189" t="s">
        <v>72</v>
      </c>
      <c r="AY143" s="191" t="s">
        <v>127</v>
      </c>
    </row>
    <row r="144" spans="2:65" s="99" customFormat="1" ht="37.9" customHeight="1" x14ac:dyDescent="0.2">
      <c r="B144" s="98"/>
      <c r="C144" s="176">
        <v>6</v>
      </c>
      <c r="D144" s="176" t="s">
        <v>129</v>
      </c>
      <c r="E144" s="177" t="s">
        <v>741</v>
      </c>
      <c r="F144" s="178" t="s">
        <v>742</v>
      </c>
      <c r="G144" s="179" t="s">
        <v>180</v>
      </c>
      <c r="H144" s="180">
        <v>3.6920000000000002</v>
      </c>
      <c r="I144" s="80"/>
      <c r="J144" s="181">
        <f>ROUND(I144*H144,2)</f>
        <v>0</v>
      </c>
      <c r="K144" s="182"/>
      <c r="L144" s="98"/>
      <c r="M144" s="183" t="s">
        <v>1</v>
      </c>
      <c r="N144" s="184" t="s">
        <v>38</v>
      </c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AR144" s="131" t="s">
        <v>131</v>
      </c>
      <c r="AT144" s="131" t="s">
        <v>129</v>
      </c>
      <c r="AU144" s="131" t="s">
        <v>82</v>
      </c>
      <c r="AY144" s="90" t="s">
        <v>127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90" t="s">
        <v>80</v>
      </c>
      <c r="BK144" s="187">
        <f>ROUND(I144*H144,2)</f>
        <v>0</v>
      </c>
      <c r="BL144" s="90" t="s">
        <v>131</v>
      </c>
      <c r="BM144" s="131" t="s">
        <v>743</v>
      </c>
    </row>
    <row r="145" spans="2:65" s="189" customFormat="1" x14ac:dyDescent="0.2">
      <c r="B145" s="188"/>
      <c r="D145" s="190" t="s">
        <v>132</v>
      </c>
      <c r="E145" s="191" t="s">
        <v>1</v>
      </c>
      <c r="F145" s="192" t="s">
        <v>744</v>
      </c>
      <c r="H145" s="193">
        <v>3.6920000000000002</v>
      </c>
      <c r="I145" s="82"/>
      <c r="L145" s="188"/>
      <c r="M145" s="194"/>
      <c r="T145" s="195"/>
      <c r="AT145" s="191" t="s">
        <v>132</v>
      </c>
      <c r="AU145" s="191" t="s">
        <v>82</v>
      </c>
      <c r="AV145" s="189" t="s">
        <v>82</v>
      </c>
      <c r="AW145" s="189" t="s">
        <v>30</v>
      </c>
      <c r="AX145" s="189" t="s">
        <v>72</v>
      </c>
      <c r="AY145" s="191" t="s">
        <v>127</v>
      </c>
    </row>
    <row r="146" spans="2:65" s="198" customFormat="1" x14ac:dyDescent="0.2">
      <c r="B146" s="197"/>
      <c r="D146" s="190" t="s">
        <v>132</v>
      </c>
      <c r="E146" s="199" t="s">
        <v>1</v>
      </c>
      <c r="F146" s="200" t="s">
        <v>133</v>
      </c>
      <c r="H146" s="201">
        <v>3.6920000000000002</v>
      </c>
      <c r="I146" s="83"/>
      <c r="L146" s="197"/>
      <c r="M146" s="203"/>
      <c r="T146" s="204"/>
      <c r="AT146" s="199" t="s">
        <v>132</v>
      </c>
      <c r="AU146" s="199" t="s">
        <v>82</v>
      </c>
      <c r="AV146" s="198" t="s">
        <v>131</v>
      </c>
      <c r="AW146" s="198" t="s">
        <v>30</v>
      </c>
      <c r="AX146" s="198" t="s">
        <v>80</v>
      </c>
      <c r="AY146" s="199" t="s">
        <v>127</v>
      </c>
    </row>
    <row r="147" spans="2:65" s="99" customFormat="1" ht="33" customHeight="1" x14ac:dyDescent="0.2">
      <c r="B147" s="98"/>
      <c r="C147" s="176">
        <v>7</v>
      </c>
      <c r="D147" s="176" t="s">
        <v>129</v>
      </c>
      <c r="E147" s="177" t="s">
        <v>745</v>
      </c>
      <c r="F147" s="178" t="s">
        <v>746</v>
      </c>
      <c r="G147" s="179" t="s">
        <v>180</v>
      </c>
      <c r="H147" s="180">
        <v>14.766999999999999</v>
      </c>
      <c r="I147" s="80"/>
      <c r="J147" s="181">
        <f>ROUND(I147*H147,2)</f>
        <v>0</v>
      </c>
      <c r="K147" s="182"/>
      <c r="L147" s="98"/>
      <c r="M147" s="183" t="s">
        <v>1</v>
      </c>
      <c r="N147" s="184" t="s">
        <v>38</v>
      </c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AR147" s="131" t="s">
        <v>131</v>
      </c>
      <c r="AT147" s="131" t="s">
        <v>129</v>
      </c>
      <c r="AU147" s="131" t="s">
        <v>82</v>
      </c>
      <c r="AY147" s="90" t="s">
        <v>127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90" t="s">
        <v>80</v>
      </c>
      <c r="BK147" s="187">
        <f>ROUND(I147*H147,2)</f>
        <v>0</v>
      </c>
      <c r="BL147" s="90" t="s">
        <v>131</v>
      </c>
      <c r="BM147" s="131" t="s">
        <v>747</v>
      </c>
    </row>
    <row r="148" spans="2:65" s="207" customFormat="1" x14ac:dyDescent="0.2">
      <c r="B148" s="206"/>
      <c r="D148" s="190" t="s">
        <v>132</v>
      </c>
      <c r="E148" s="208" t="s">
        <v>1</v>
      </c>
      <c r="F148" s="209" t="s">
        <v>143</v>
      </c>
      <c r="H148" s="208" t="s">
        <v>1</v>
      </c>
      <c r="I148" s="84"/>
      <c r="L148" s="206"/>
      <c r="M148" s="211"/>
      <c r="T148" s="212"/>
      <c r="AT148" s="208" t="s">
        <v>132</v>
      </c>
      <c r="AU148" s="208" t="s">
        <v>82</v>
      </c>
      <c r="AV148" s="207" t="s">
        <v>80</v>
      </c>
      <c r="AW148" s="207" t="s">
        <v>30</v>
      </c>
      <c r="AX148" s="207" t="s">
        <v>72</v>
      </c>
      <c r="AY148" s="208" t="s">
        <v>127</v>
      </c>
    </row>
    <row r="149" spans="2:65" s="189" customFormat="1" x14ac:dyDescent="0.2">
      <c r="B149" s="188"/>
      <c r="D149" s="190" t="s">
        <v>132</v>
      </c>
      <c r="E149" s="191" t="s">
        <v>1</v>
      </c>
      <c r="F149" s="192" t="s">
        <v>748</v>
      </c>
      <c r="H149" s="193">
        <v>26.501999999999999</v>
      </c>
      <c r="I149" s="82"/>
      <c r="L149" s="188"/>
      <c r="M149" s="194"/>
      <c r="T149" s="195"/>
      <c r="AT149" s="191" t="s">
        <v>132</v>
      </c>
      <c r="AU149" s="191" t="s">
        <v>82</v>
      </c>
      <c r="AV149" s="189" t="s">
        <v>82</v>
      </c>
      <c r="AW149" s="189" t="s">
        <v>30</v>
      </c>
      <c r="AX149" s="189" t="s">
        <v>72</v>
      </c>
      <c r="AY149" s="191" t="s">
        <v>127</v>
      </c>
    </row>
    <row r="150" spans="2:65" s="189" customFormat="1" x14ac:dyDescent="0.2">
      <c r="B150" s="188"/>
      <c r="D150" s="190" t="s">
        <v>132</v>
      </c>
      <c r="E150" s="191" t="s">
        <v>1</v>
      </c>
      <c r="F150" s="192" t="s">
        <v>749</v>
      </c>
      <c r="H150" s="193">
        <v>2.34</v>
      </c>
      <c r="I150" s="82"/>
      <c r="L150" s="188"/>
      <c r="M150" s="194"/>
      <c r="T150" s="195"/>
      <c r="AT150" s="191" t="s">
        <v>132</v>
      </c>
      <c r="AU150" s="191" t="s">
        <v>82</v>
      </c>
      <c r="AV150" s="189" t="s">
        <v>82</v>
      </c>
      <c r="AW150" s="189" t="s">
        <v>30</v>
      </c>
      <c r="AX150" s="189" t="s">
        <v>72</v>
      </c>
      <c r="AY150" s="191" t="s">
        <v>127</v>
      </c>
    </row>
    <row r="151" spans="2:65" s="189" customFormat="1" x14ac:dyDescent="0.2">
      <c r="B151" s="188"/>
      <c r="D151" s="190" t="s">
        <v>132</v>
      </c>
      <c r="E151" s="191" t="s">
        <v>1</v>
      </c>
      <c r="F151" s="192" t="s">
        <v>750</v>
      </c>
      <c r="H151" s="193">
        <v>-10.382999999999999</v>
      </c>
      <c r="I151" s="82"/>
      <c r="L151" s="188"/>
      <c r="M151" s="194"/>
      <c r="T151" s="195"/>
      <c r="AT151" s="191" t="s">
        <v>132</v>
      </c>
      <c r="AU151" s="191" t="s">
        <v>82</v>
      </c>
      <c r="AV151" s="189" t="s">
        <v>82</v>
      </c>
      <c r="AW151" s="189" t="s">
        <v>30</v>
      </c>
      <c r="AX151" s="189" t="s">
        <v>72</v>
      </c>
      <c r="AY151" s="191" t="s">
        <v>127</v>
      </c>
    </row>
    <row r="152" spans="2:65" s="198" customFormat="1" x14ac:dyDescent="0.2">
      <c r="B152" s="197"/>
      <c r="D152" s="190" t="s">
        <v>132</v>
      </c>
      <c r="E152" s="199" t="s">
        <v>1</v>
      </c>
      <c r="F152" s="200" t="s">
        <v>133</v>
      </c>
      <c r="H152" s="201">
        <v>18.459</v>
      </c>
      <c r="I152" s="83"/>
      <c r="L152" s="197"/>
      <c r="M152" s="203"/>
      <c r="T152" s="204"/>
      <c r="AT152" s="199" t="s">
        <v>132</v>
      </c>
      <c r="AU152" s="199" t="s">
        <v>82</v>
      </c>
      <c r="AV152" s="198" t="s">
        <v>131</v>
      </c>
      <c r="AW152" s="198" t="s">
        <v>30</v>
      </c>
      <c r="AX152" s="198" t="s">
        <v>72</v>
      </c>
      <c r="AY152" s="199" t="s">
        <v>127</v>
      </c>
    </row>
    <row r="153" spans="2:65" s="189" customFormat="1" x14ac:dyDescent="0.2">
      <c r="B153" s="188"/>
      <c r="D153" s="190" t="s">
        <v>132</v>
      </c>
      <c r="E153" s="191" t="s">
        <v>1</v>
      </c>
      <c r="F153" s="192" t="s">
        <v>751</v>
      </c>
      <c r="H153" s="193">
        <v>14.766999999999999</v>
      </c>
      <c r="I153" s="82"/>
      <c r="L153" s="188"/>
      <c r="M153" s="194"/>
      <c r="T153" s="195"/>
      <c r="AT153" s="191" t="s">
        <v>132</v>
      </c>
      <c r="AU153" s="191" t="s">
        <v>82</v>
      </c>
      <c r="AV153" s="189" t="s">
        <v>82</v>
      </c>
      <c r="AW153" s="189" t="s">
        <v>30</v>
      </c>
      <c r="AX153" s="189" t="s">
        <v>80</v>
      </c>
      <c r="AY153" s="191" t="s">
        <v>127</v>
      </c>
    </row>
    <row r="154" spans="2:65" s="99" customFormat="1" ht="37.9" customHeight="1" x14ac:dyDescent="0.2">
      <c r="B154" s="98"/>
      <c r="C154" s="176" t="s">
        <v>148</v>
      </c>
      <c r="D154" s="176" t="s">
        <v>129</v>
      </c>
      <c r="E154" s="177"/>
      <c r="F154" s="178" t="s">
        <v>848</v>
      </c>
      <c r="G154" s="179" t="s">
        <v>180</v>
      </c>
      <c r="H154" s="180">
        <f>H160</f>
        <v>38.408000000000001</v>
      </c>
      <c r="I154" s="80"/>
      <c r="J154" s="181">
        <f>ROUND(I154*H154,2)</f>
        <v>0</v>
      </c>
      <c r="K154" s="182"/>
      <c r="L154" s="98"/>
      <c r="M154" s="183" t="s">
        <v>1</v>
      </c>
      <c r="N154" s="184" t="s">
        <v>38</v>
      </c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AR154" s="131" t="s">
        <v>131</v>
      </c>
      <c r="AT154" s="131" t="s">
        <v>129</v>
      </c>
      <c r="AU154" s="131" t="s">
        <v>82</v>
      </c>
      <c r="AY154" s="90" t="s">
        <v>127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90" t="s">
        <v>80</v>
      </c>
      <c r="BK154" s="187">
        <f>ROUND(I154*H154,2)</f>
        <v>0</v>
      </c>
      <c r="BL154" s="90" t="s">
        <v>131</v>
      </c>
      <c r="BM154" s="131" t="s">
        <v>752</v>
      </c>
    </row>
    <row r="155" spans="2:65" s="189" customFormat="1" x14ac:dyDescent="0.2">
      <c r="B155" s="188"/>
      <c r="D155" s="190" t="s">
        <v>132</v>
      </c>
      <c r="E155" s="191" t="s">
        <v>1</v>
      </c>
      <c r="F155" s="192" t="s">
        <v>1054</v>
      </c>
      <c r="H155" s="193">
        <f xml:space="preserve"> (24*0.2)*2</f>
        <v>9.6000000000000014</v>
      </c>
      <c r="I155" s="82"/>
      <c r="L155" s="188"/>
      <c r="M155" s="194"/>
      <c r="T155" s="195"/>
      <c r="AT155" s="191" t="s">
        <v>132</v>
      </c>
      <c r="AU155" s="191" t="s">
        <v>82</v>
      </c>
      <c r="AV155" s="189" t="s">
        <v>82</v>
      </c>
      <c r="AW155" s="189" t="s">
        <v>30</v>
      </c>
      <c r="AX155" s="189" t="s">
        <v>72</v>
      </c>
      <c r="AY155" s="191" t="s">
        <v>127</v>
      </c>
    </row>
    <row r="156" spans="2:65" s="189" customFormat="1" x14ac:dyDescent="0.2">
      <c r="B156" s="188"/>
      <c r="D156" s="190" t="s">
        <v>132</v>
      </c>
      <c r="E156" s="191" t="s">
        <v>1</v>
      </c>
      <c r="F156" s="192" t="s">
        <v>753</v>
      </c>
      <c r="H156" s="193">
        <v>16.198</v>
      </c>
      <c r="I156" s="82"/>
      <c r="L156" s="188"/>
      <c r="M156" s="194"/>
      <c r="T156" s="195"/>
      <c r="AT156" s="191" t="s">
        <v>132</v>
      </c>
      <c r="AU156" s="191" t="s">
        <v>82</v>
      </c>
      <c r="AV156" s="189" t="s">
        <v>82</v>
      </c>
      <c r="AW156" s="189" t="s">
        <v>30</v>
      </c>
      <c r="AX156" s="189" t="s">
        <v>72</v>
      </c>
      <c r="AY156" s="191" t="s">
        <v>127</v>
      </c>
    </row>
    <row r="157" spans="2:65" s="189" customFormat="1" x14ac:dyDescent="0.2">
      <c r="B157" s="188"/>
      <c r="D157" s="190" t="s">
        <v>132</v>
      </c>
      <c r="E157" s="191" t="s">
        <v>1</v>
      </c>
      <c r="F157" s="192" t="s">
        <v>754</v>
      </c>
      <c r="H157" s="193">
        <v>7.476</v>
      </c>
      <c r="I157" s="82"/>
      <c r="L157" s="188"/>
      <c r="M157" s="194"/>
      <c r="T157" s="195"/>
      <c r="AT157" s="191" t="s">
        <v>132</v>
      </c>
      <c r="AU157" s="191" t="s">
        <v>82</v>
      </c>
      <c r="AV157" s="189" t="s">
        <v>82</v>
      </c>
      <c r="AW157" s="189" t="s">
        <v>30</v>
      </c>
      <c r="AX157" s="189" t="s">
        <v>72</v>
      </c>
      <c r="AY157" s="191" t="s">
        <v>127</v>
      </c>
    </row>
    <row r="158" spans="2:65" s="189" customFormat="1" x14ac:dyDescent="0.2">
      <c r="B158" s="188"/>
      <c r="D158" s="190" t="s">
        <v>132</v>
      </c>
      <c r="E158" s="191" t="s">
        <v>1</v>
      </c>
      <c r="F158" s="192" t="s">
        <v>755</v>
      </c>
      <c r="H158" s="193">
        <v>2.8839999999999999</v>
      </c>
      <c r="I158" s="82"/>
      <c r="L158" s="188"/>
      <c r="M158" s="194"/>
      <c r="T158" s="195"/>
      <c r="AT158" s="191" t="s">
        <v>132</v>
      </c>
      <c r="AU158" s="191" t="s">
        <v>82</v>
      </c>
      <c r="AV158" s="189" t="s">
        <v>82</v>
      </c>
      <c r="AW158" s="189" t="s">
        <v>30</v>
      </c>
      <c r="AX158" s="189" t="s">
        <v>72</v>
      </c>
      <c r="AY158" s="191" t="s">
        <v>127</v>
      </c>
    </row>
    <row r="159" spans="2:65" s="189" customFormat="1" x14ac:dyDescent="0.2">
      <c r="B159" s="188"/>
      <c r="D159" s="190" t="s">
        <v>132</v>
      </c>
      <c r="E159" s="191" t="s">
        <v>1</v>
      </c>
      <c r="F159" s="192" t="s">
        <v>1043</v>
      </c>
      <c r="H159" s="193">
        <f>9*0.25</f>
        <v>2.25</v>
      </c>
      <c r="I159" s="82"/>
      <c r="L159" s="188"/>
      <c r="M159" s="194"/>
      <c r="T159" s="195"/>
      <c r="AT159" s="191" t="s">
        <v>132</v>
      </c>
      <c r="AU159" s="191" t="s">
        <v>82</v>
      </c>
      <c r="AV159" s="189" t="s">
        <v>82</v>
      </c>
      <c r="AW159" s="189" t="s">
        <v>30</v>
      </c>
      <c r="AX159" s="189" t="s">
        <v>72</v>
      </c>
      <c r="AY159" s="191" t="s">
        <v>127</v>
      </c>
    </row>
    <row r="160" spans="2:65" s="198" customFormat="1" x14ac:dyDescent="0.2">
      <c r="B160" s="197"/>
      <c r="D160" s="190" t="s">
        <v>132</v>
      </c>
      <c r="E160" s="199" t="s">
        <v>1</v>
      </c>
      <c r="F160" s="200" t="s">
        <v>133</v>
      </c>
      <c r="H160" s="201">
        <f>SUM(H155:H159)</f>
        <v>38.408000000000001</v>
      </c>
      <c r="I160" s="83"/>
      <c r="L160" s="197"/>
      <c r="M160" s="203"/>
      <c r="T160" s="204"/>
      <c r="AT160" s="199" t="s">
        <v>132</v>
      </c>
      <c r="AU160" s="199" t="s">
        <v>82</v>
      </c>
      <c r="AV160" s="198" t="s">
        <v>131</v>
      </c>
      <c r="AW160" s="198" t="s">
        <v>30</v>
      </c>
      <c r="AX160" s="198" t="s">
        <v>80</v>
      </c>
      <c r="AY160" s="199" t="s">
        <v>127</v>
      </c>
    </row>
    <row r="161" spans="2:65" s="99" customFormat="1" ht="37.9" customHeight="1" x14ac:dyDescent="0.2">
      <c r="B161" s="98"/>
      <c r="C161" s="176" t="s">
        <v>153</v>
      </c>
      <c r="D161" s="176" t="s">
        <v>129</v>
      </c>
      <c r="E161" s="177"/>
      <c r="F161" s="178" t="s">
        <v>839</v>
      </c>
      <c r="G161" s="179" t="s">
        <v>180</v>
      </c>
      <c r="H161" s="180">
        <v>10.36</v>
      </c>
      <c r="I161" s="80"/>
      <c r="J161" s="181">
        <f>ROUND(I161*H161,2)</f>
        <v>0</v>
      </c>
      <c r="K161" s="182"/>
      <c r="L161" s="98"/>
      <c r="M161" s="183" t="s">
        <v>1</v>
      </c>
      <c r="N161" s="184" t="s">
        <v>38</v>
      </c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AR161" s="131" t="s">
        <v>131</v>
      </c>
      <c r="AT161" s="131" t="s">
        <v>129</v>
      </c>
      <c r="AU161" s="131" t="s">
        <v>82</v>
      </c>
      <c r="AY161" s="90" t="s">
        <v>127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90" t="s">
        <v>80</v>
      </c>
      <c r="BK161" s="187">
        <f>ROUND(I161*H161,2)</f>
        <v>0</v>
      </c>
      <c r="BL161" s="90" t="s">
        <v>131</v>
      </c>
      <c r="BM161" s="131" t="s">
        <v>756</v>
      </c>
    </row>
    <row r="162" spans="2:65" s="189" customFormat="1" x14ac:dyDescent="0.2">
      <c r="B162" s="188"/>
      <c r="D162" s="190" t="s">
        <v>132</v>
      </c>
      <c r="E162" s="191" t="s">
        <v>1</v>
      </c>
      <c r="F162" s="192" t="s">
        <v>757</v>
      </c>
      <c r="H162" s="193">
        <v>10.36</v>
      </c>
      <c r="I162" s="82"/>
      <c r="L162" s="188"/>
      <c r="M162" s="194"/>
      <c r="T162" s="195"/>
      <c r="AT162" s="191" t="s">
        <v>132</v>
      </c>
      <c r="AU162" s="191" t="s">
        <v>82</v>
      </c>
      <c r="AV162" s="189" t="s">
        <v>82</v>
      </c>
      <c r="AW162" s="189" t="s">
        <v>30</v>
      </c>
      <c r="AX162" s="189" t="s">
        <v>72</v>
      </c>
      <c r="AY162" s="191" t="s">
        <v>127</v>
      </c>
    </row>
    <row r="163" spans="2:65" s="198" customFormat="1" x14ac:dyDescent="0.2">
      <c r="B163" s="197"/>
      <c r="D163" s="190" t="s">
        <v>132</v>
      </c>
      <c r="E163" s="199" t="s">
        <v>1</v>
      </c>
      <c r="F163" s="200" t="s">
        <v>133</v>
      </c>
      <c r="H163" s="201">
        <v>10.36</v>
      </c>
      <c r="I163" s="83"/>
      <c r="L163" s="197"/>
      <c r="M163" s="203"/>
      <c r="T163" s="204"/>
      <c r="AT163" s="199" t="s">
        <v>132</v>
      </c>
      <c r="AU163" s="199" t="s">
        <v>82</v>
      </c>
      <c r="AV163" s="198" t="s">
        <v>131</v>
      </c>
      <c r="AW163" s="198" t="s">
        <v>30</v>
      </c>
      <c r="AX163" s="198" t="s">
        <v>80</v>
      </c>
      <c r="AY163" s="199" t="s">
        <v>127</v>
      </c>
    </row>
    <row r="164" spans="2:65" s="99" customFormat="1" ht="24.2" customHeight="1" x14ac:dyDescent="0.2">
      <c r="B164" s="98"/>
      <c r="C164" s="176" t="s">
        <v>158</v>
      </c>
      <c r="D164" s="176" t="s">
        <v>129</v>
      </c>
      <c r="E164" s="177" t="s">
        <v>225</v>
      </c>
      <c r="F164" s="178" t="s">
        <v>226</v>
      </c>
      <c r="G164" s="179" t="s">
        <v>180</v>
      </c>
      <c r="H164" s="180">
        <f>H170</f>
        <v>25.509</v>
      </c>
      <c r="I164" s="80"/>
      <c r="J164" s="181">
        <f>ROUND(I164*H164,2)</f>
        <v>0</v>
      </c>
      <c r="K164" s="182"/>
      <c r="L164" s="98"/>
      <c r="M164" s="183" t="s">
        <v>1</v>
      </c>
      <c r="N164" s="184" t="s">
        <v>38</v>
      </c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AR164" s="131" t="s">
        <v>131</v>
      </c>
      <c r="AT164" s="131" t="s">
        <v>129</v>
      </c>
      <c r="AU164" s="131" t="s">
        <v>82</v>
      </c>
      <c r="AY164" s="90" t="s">
        <v>127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90" t="s">
        <v>80</v>
      </c>
      <c r="BK164" s="187">
        <f>ROUND(I164*H164,2)</f>
        <v>0</v>
      </c>
      <c r="BL164" s="90" t="s">
        <v>131</v>
      </c>
      <c r="BM164" s="131" t="s">
        <v>758</v>
      </c>
    </row>
    <row r="165" spans="2:65" s="189" customFormat="1" x14ac:dyDescent="0.2">
      <c r="B165" s="188"/>
      <c r="D165" s="190" t="s">
        <v>132</v>
      </c>
      <c r="E165" s="191" t="s">
        <v>1</v>
      </c>
      <c r="F165" s="192" t="s">
        <v>1055</v>
      </c>
      <c r="H165" s="193">
        <f xml:space="preserve"> (24*0.2)</f>
        <v>4.8000000000000007</v>
      </c>
      <c r="I165" s="82"/>
      <c r="L165" s="188"/>
      <c r="M165" s="194"/>
      <c r="T165" s="195"/>
      <c r="AT165" s="191" t="s">
        <v>132</v>
      </c>
      <c r="AU165" s="191" t="s">
        <v>82</v>
      </c>
      <c r="AV165" s="189" t="s">
        <v>82</v>
      </c>
      <c r="AW165" s="189" t="s">
        <v>30</v>
      </c>
      <c r="AX165" s="189" t="s">
        <v>72</v>
      </c>
      <c r="AY165" s="191" t="s">
        <v>127</v>
      </c>
    </row>
    <row r="166" spans="2:65" s="189" customFormat="1" x14ac:dyDescent="0.2">
      <c r="B166" s="188"/>
      <c r="D166" s="190" t="s">
        <v>132</v>
      </c>
      <c r="E166" s="191" t="s">
        <v>1</v>
      </c>
      <c r="F166" s="192" t="s">
        <v>759</v>
      </c>
      <c r="H166" s="193">
        <v>8.0990000000000002</v>
      </c>
      <c r="I166" s="82"/>
      <c r="L166" s="188"/>
      <c r="M166" s="194"/>
      <c r="T166" s="195"/>
      <c r="AT166" s="191" t="s">
        <v>132</v>
      </c>
      <c r="AU166" s="191" t="s">
        <v>82</v>
      </c>
      <c r="AV166" s="189" t="s">
        <v>82</v>
      </c>
      <c r="AW166" s="189" t="s">
        <v>30</v>
      </c>
      <c r="AX166" s="189" t="s">
        <v>72</v>
      </c>
      <c r="AY166" s="191" t="s">
        <v>127</v>
      </c>
    </row>
    <row r="167" spans="2:65" s="189" customFormat="1" x14ac:dyDescent="0.2">
      <c r="B167" s="188"/>
      <c r="D167" s="190" t="s">
        <v>132</v>
      </c>
      <c r="E167" s="191" t="s">
        <v>1</v>
      </c>
      <c r="F167" s="192" t="s">
        <v>754</v>
      </c>
      <c r="H167" s="193">
        <v>7.476</v>
      </c>
      <c r="I167" s="82"/>
      <c r="L167" s="188"/>
      <c r="M167" s="194"/>
      <c r="T167" s="195"/>
      <c r="AT167" s="191" t="s">
        <v>132</v>
      </c>
      <c r="AU167" s="191" t="s">
        <v>82</v>
      </c>
      <c r="AV167" s="189" t="s">
        <v>82</v>
      </c>
      <c r="AW167" s="189" t="s">
        <v>30</v>
      </c>
      <c r="AX167" s="189" t="s">
        <v>72</v>
      </c>
      <c r="AY167" s="191" t="s">
        <v>127</v>
      </c>
    </row>
    <row r="168" spans="2:65" s="189" customFormat="1" x14ac:dyDescent="0.2">
      <c r="B168" s="188"/>
      <c r="D168" s="190" t="s">
        <v>132</v>
      </c>
      <c r="E168" s="191" t="s">
        <v>1</v>
      </c>
      <c r="F168" s="192" t="s">
        <v>755</v>
      </c>
      <c r="H168" s="193">
        <v>2.8839999999999999</v>
      </c>
      <c r="I168" s="82"/>
      <c r="L168" s="188"/>
      <c r="M168" s="194"/>
      <c r="T168" s="195"/>
      <c r="AT168" s="191" t="s">
        <v>132</v>
      </c>
      <c r="AU168" s="191" t="s">
        <v>82</v>
      </c>
      <c r="AV168" s="189" t="s">
        <v>82</v>
      </c>
      <c r="AW168" s="189" t="s">
        <v>30</v>
      </c>
      <c r="AX168" s="189" t="s">
        <v>72</v>
      </c>
      <c r="AY168" s="191" t="s">
        <v>127</v>
      </c>
    </row>
    <row r="169" spans="2:65" s="189" customFormat="1" x14ac:dyDescent="0.2">
      <c r="B169" s="188"/>
      <c r="D169" s="190" t="s">
        <v>132</v>
      </c>
      <c r="E169" s="191" t="s">
        <v>1</v>
      </c>
      <c r="F169" s="192" t="s">
        <v>1043</v>
      </c>
      <c r="H169" s="193">
        <f>9*0.25</f>
        <v>2.25</v>
      </c>
      <c r="I169" s="82"/>
      <c r="L169" s="188"/>
      <c r="M169" s="194"/>
      <c r="T169" s="195"/>
      <c r="AT169" s="191" t="s">
        <v>132</v>
      </c>
      <c r="AU169" s="191" t="s">
        <v>82</v>
      </c>
      <c r="AV169" s="189" t="s">
        <v>82</v>
      </c>
      <c r="AW169" s="189" t="s">
        <v>30</v>
      </c>
      <c r="AX169" s="189" t="s">
        <v>72</v>
      </c>
      <c r="AY169" s="191" t="s">
        <v>127</v>
      </c>
    </row>
    <row r="170" spans="2:65" s="198" customFormat="1" x14ac:dyDescent="0.2">
      <c r="B170" s="197"/>
      <c r="D170" s="190" t="s">
        <v>132</v>
      </c>
      <c r="E170" s="199" t="s">
        <v>1</v>
      </c>
      <c r="F170" s="200" t="s">
        <v>133</v>
      </c>
      <c r="H170" s="201">
        <f>SUM(H165:H169)</f>
        <v>25.509</v>
      </c>
      <c r="I170" s="83"/>
      <c r="L170" s="197"/>
      <c r="M170" s="203"/>
      <c r="T170" s="204"/>
      <c r="AT170" s="199" t="s">
        <v>132</v>
      </c>
      <c r="AU170" s="199" t="s">
        <v>82</v>
      </c>
      <c r="AV170" s="198" t="s">
        <v>131</v>
      </c>
      <c r="AW170" s="198" t="s">
        <v>30</v>
      </c>
      <c r="AX170" s="198" t="s">
        <v>80</v>
      </c>
      <c r="AY170" s="199" t="s">
        <v>127</v>
      </c>
    </row>
    <row r="171" spans="2:65" s="99" customFormat="1" ht="33" customHeight="1" x14ac:dyDescent="0.2">
      <c r="B171" s="98"/>
      <c r="C171" s="176" t="s">
        <v>163</v>
      </c>
      <c r="D171" s="176" t="s">
        <v>129</v>
      </c>
      <c r="E171" s="177" t="s">
        <v>231</v>
      </c>
      <c r="F171" s="178" t="s">
        <v>232</v>
      </c>
      <c r="G171" s="179" t="s">
        <v>233</v>
      </c>
      <c r="H171" s="180">
        <v>18.648</v>
      </c>
      <c r="I171" s="80"/>
      <c r="J171" s="181">
        <f>ROUND(I171*H171,2)</f>
        <v>0</v>
      </c>
      <c r="K171" s="182"/>
      <c r="L171" s="98"/>
      <c r="M171" s="183" t="s">
        <v>1</v>
      </c>
      <c r="N171" s="184" t="s">
        <v>38</v>
      </c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AR171" s="131" t="s">
        <v>131</v>
      </c>
      <c r="AT171" s="131" t="s">
        <v>129</v>
      </c>
      <c r="AU171" s="131" t="s">
        <v>82</v>
      </c>
      <c r="AY171" s="90" t="s">
        <v>127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90" t="s">
        <v>80</v>
      </c>
      <c r="BK171" s="187">
        <f>ROUND(I171*H171,2)</f>
        <v>0</v>
      </c>
      <c r="BL171" s="90" t="s">
        <v>131</v>
      </c>
      <c r="BM171" s="131" t="s">
        <v>760</v>
      </c>
    </row>
    <row r="172" spans="2:65" s="189" customFormat="1" x14ac:dyDescent="0.2">
      <c r="B172" s="188"/>
      <c r="D172" s="190" t="s">
        <v>132</v>
      </c>
      <c r="E172" s="191" t="s">
        <v>1</v>
      </c>
      <c r="F172" s="192" t="s">
        <v>761</v>
      </c>
      <c r="H172" s="193">
        <v>18.648</v>
      </c>
      <c r="I172" s="82"/>
      <c r="L172" s="188"/>
      <c r="M172" s="194"/>
      <c r="T172" s="195"/>
      <c r="AT172" s="191" t="s">
        <v>132</v>
      </c>
      <c r="AU172" s="191" t="s">
        <v>82</v>
      </c>
      <c r="AV172" s="189" t="s">
        <v>82</v>
      </c>
      <c r="AW172" s="189" t="s">
        <v>30</v>
      </c>
      <c r="AX172" s="189" t="s">
        <v>72</v>
      </c>
      <c r="AY172" s="191" t="s">
        <v>127</v>
      </c>
    </row>
    <row r="173" spans="2:65" s="198" customFormat="1" x14ac:dyDescent="0.2">
      <c r="B173" s="197"/>
      <c r="D173" s="190" t="s">
        <v>132</v>
      </c>
      <c r="E173" s="199" t="s">
        <v>1</v>
      </c>
      <c r="F173" s="200" t="s">
        <v>133</v>
      </c>
      <c r="H173" s="201">
        <v>18.648</v>
      </c>
      <c r="I173" s="83"/>
      <c r="L173" s="197"/>
      <c r="M173" s="203"/>
      <c r="T173" s="204"/>
      <c r="AT173" s="199" t="s">
        <v>132</v>
      </c>
      <c r="AU173" s="199" t="s">
        <v>82</v>
      </c>
      <c r="AV173" s="198" t="s">
        <v>131</v>
      </c>
      <c r="AW173" s="198" t="s">
        <v>30</v>
      </c>
      <c r="AX173" s="198" t="s">
        <v>80</v>
      </c>
      <c r="AY173" s="199" t="s">
        <v>127</v>
      </c>
    </row>
    <row r="174" spans="2:65" s="99" customFormat="1" ht="16.5" customHeight="1" x14ac:dyDescent="0.2">
      <c r="B174" s="98"/>
      <c r="C174" s="176" t="s">
        <v>8</v>
      </c>
      <c r="D174" s="176" t="s">
        <v>129</v>
      </c>
      <c r="E174" s="177" t="s">
        <v>235</v>
      </c>
      <c r="F174" s="178" t="s">
        <v>236</v>
      </c>
      <c r="G174" s="179" t="s">
        <v>180</v>
      </c>
      <c r="H174" s="180">
        <f>H175</f>
        <v>8.0990000000000002</v>
      </c>
      <c r="I174" s="80"/>
      <c r="J174" s="181">
        <f>ROUND(I174*H174,2)</f>
        <v>0</v>
      </c>
      <c r="K174" s="182"/>
      <c r="L174" s="98"/>
      <c r="M174" s="183" t="s">
        <v>1</v>
      </c>
      <c r="N174" s="184" t="s">
        <v>38</v>
      </c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AR174" s="131" t="s">
        <v>131</v>
      </c>
      <c r="AT174" s="131" t="s">
        <v>129</v>
      </c>
      <c r="AU174" s="131" t="s">
        <v>82</v>
      </c>
      <c r="AY174" s="90" t="s">
        <v>127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90" t="s">
        <v>80</v>
      </c>
      <c r="BK174" s="187">
        <f>ROUND(I174*H174,2)</f>
        <v>0</v>
      </c>
      <c r="BL174" s="90" t="s">
        <v>131</v>
      </c>
      <c r="BM174" s="131" t="s">
        <v>472</v>
      </c>
    </row>
    <row r="175" spans="2:65" s="189" customFormat="1" x14ac:dyDescent="0.2">
      <c r="B175" s="188"/>
      <c r="D175" s="190" t="s">
        <v>132</v>
      </c>
      <c r="E175" s="191" t="s">
        <v>1</v>
      </c>
      <c r="F175" s="192" t="s">
        <v>759</v>
      </c>
      <c r="H175" s="193">
        <v>8.0990000000000002</v>
      </c>
      <c r="I175" s="82"/>
      <c r="L175" s="188"/>
      <c r="M175" s="194"/>
      <c r="T175" s="195"/>
      <c r="AT175" s="191" t="s">
        <v>132</v>
      </c>
      <c r="AU175" s="191" t="s">
        <v>82</v>
      </c>
      <c r="AV175" s="189" t="s">
        <v>82</v>
      </c>
      <c r="AW175" s="189" t="s">
        <v>30</v>
      </c>
      <c r="AX175" s="189" t="s">
        <v>72</v>
      </c>
      <c r="AY175" s="191" t="s">
        <v>127</v>
      </c>
    </row>
    <row r="176" spans="2:65" s="99" customFormat="1" ht="24.2" customHeight="1" x14ac:dyDescent="0.2">
      <c r="B176" s="98"/>
      <c r="C176" s="176" t="s">
        <v>170</v>
      </c>
      <c r="D176" s="176" t="s">
        <v>129</v>
      </c>
      <c r="E176" s="177" t="s">
        <v>238</v>
      </c>
      <c r="F176" s="178" t="s">
        <v>239</v>
      </c>
      <c r="G176" s="179" t="s">
        <v>180</v>
      </c>
      <c r="H176" s="180">
        <v>8.0990000000000002</v>
      </c>
      <c r="I176" s="80"/>
      <c r="J176" s="181">
        <f>ROUND(I176*H176,2)</f>
        <v>0</v>
      </c>
      <c r="K176" s="182"/>
      <c r="L176" s="98"/>
      <c r="M176" s="183" t="s">
        <v>1</v>
      </c>
      <c r="N176" s="184" t="s">
        <v>38</v>
      </c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AR176" s="131" t="s">
        <v>131</v>
      </c>
      <c r="AT176" s="131" t="s">
        <v>129</v>
      </c>
      <c r="AU176" s="131" t="s">
        <v>82</v>
      </c>
      <c r="AY176" s="90" t="s">
        <v>127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90" t="s">
        <v>80</v>
      </c>
      <c r="BK176" s="187">
        <f>ROUND(I176*H176,2)</f>
        <v>0</v>
      </c>
      <c r="BL176" s="90" t="s">
        <v>131</v>
      </c>
      <c r="BM176" s="131" t="s">
        <v>762</v>
      </c>
    </row>
    <row r="177" spans="2:65" s="189" customFormat="1" x14ac:dyDescent="0.2">
      <c r="B177" s="188"/>
      <c r="D177" s="190" t="s">
        <v>132</v>
      </c>
      <c r="E177" s="191" t="s">
        <v>1</v>
      </c>
      <c r="F177" s="192" t="s">
        <v>763</v>
      </c>
      <c r="H177" s="193">
        <v>18.459</v>
      </c>
      <c r="I177" s="82"/>
      <c r="L177" s="188"/>
      <c r="M177" s="194"/>
      <c r="T177" s="195"/>
      <c r="AT177" s="191" t="s">
        <v>132</v>
      </c>
      <c r="AU177" s="191" t="s">
        <v>82</v>
      </c>
      <c r="AV177" s="189" t="s">
        <v>82</v>
      </c>
      <c r="AW177" s="189" t="s">
        <v>30</v>
      </c>
      <c r="AX177" s="189" t="s">
        <v>72</v>
      </c>
      <c r="AY177" s="191" t="s">
        <v>127</v>
      </c>
    </row>
    <row r="178" spans="2:65" s="189" customFormat="1" ht="22.5" x14ac:dyDescent="0.2">
      <c r="B178" s="188"/>
      <c r="D178" s="190" t="s">
        <v>132</v>
      </c>
      <c r="E178" s="191" t="s">
        <v>1</v>
      </c>
      <c r="F178" s="192" t="s">
        <v>764</v>
      </c>
      <c r="H178" s="193">
        <v>-10.36</v>
      </c>
      <c r="I178" s="82"/>
      <c r="L178" s="188"/>
      <c r="M178" s="194"/>
      <c r="T178" s="195"/>
      <c r="AT178" s="191" t="s">
        <v>132</v>
      </c>
      <c r="AU178" s="191" t="s">
        <v>82</v>
      </c>
      <c r="AV178" s="189" t="s">
        <v>82</v>
      </c>
      <c r="AW178" s="189" t="s">
        <v>30</v>
      </c>
      <c r="AX178" s="189" t="s">
        <v>72</v>
      </c>
      <c r="AY178" s="191" t="s">
        <v>127</v>
      </c>
    </row>
    <row r="179" spans="2:65" s="198" customFormat="1" x14ac:dyDescent="0.2">
      <c r="B179" s="197"/>
      <c r="D179" s="190" t="s">
        <v>132</v>
      </c>
      <c r="E179" s="199" t="s">
        <v>1</v>
      </c>
      <c r="F179" s="200" t="s">
        <v>133</v>
      </c>
      <c r="H179" s="201">
        <v>8.0990000000000002</v>
      </c>
      <c r="I179" s="83"/>
      <c r="L179" s="197"/>
      <c r="M179" s="203"/>
      <c r="T179" s="204"/>
      <c r="AT179" s="199" t="s">
        <v>132</v>
      </c>
      <c r="AU179" s="199" t="s">
        <v>82</v>
      </c>
      <c r="AV179" s="198" t="s">
        <v>131</v>
      </c>
      <c r="AW179" s="198" t="s">
        <v>30</v>
      </c>
      <c r="AX179" s="198" t="s">
        <v>80</v>
      </c>
      <c r="AY179" s="199" t="s">
        <v>127</v>
      </c>
    </row>
    <row r="180" spans="2:65" s="99" customFormat="1" ht="24.2" customHeight="1" x14ac:dyDescent="0.2">
      <c r="B180" s="98"/>
      <c r="C180" s="176" t="s">
        <v>174</v>
      </c>
      <c r="D180" s="176" t="s">
        <v>129</v>
      </c>
      <c r="E180" s="177" t="s">
        <v>245</v>
      </c>
      <c r="F180" s="178" t="s">
        <v>246</v>
      </c>
      <c r="G180" s="179" t="s">
        <v>180</v>
      </c>
      <c r="H180" s="180">
        <v>7.476</v>
      </c>
      <c r="I180" s="80"/>
      <c r="J180" s="181">
        <f>ROUND(I180*H180,2)</f>
        <v>0</v>
      </c>
      <c r="K180" s="182"/>
      <c r="L180" s="98"/>
      <c r="M180" s="183" t="s">
        <v>1</v>
      </c>
      <c r="N180" s="184" t="s">
        <v>38</v>
      </c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AR180" s="131" t="s">
        <v>131</v>
      </c>
      <c r="AT180" s="131" t="s">
        <v>129</v>
      </c>
      <c r="AU180" s="131" t="s">
        <v>82</v>
      </c>
      <c r="AY180" s="90" t="s">
        <v>127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90" t="s">
        <v>80</v>
      </c>
      <c r="BK180" s="187">
        <f>ROUND(I180*H180,2)</f>
        <v>0</v>
      </c>
      <c r="BL180" s="90" t="s">
        <v>131</v>
      </c>
      <c r="BM180" s="131" t="s">
        <v>765</v>
      </c>
    </row>
    <row r="181" spans="2:65" s="189" customFormat="1" x14ac:dyDescent="0.2">
      <c r="B181" s="188"/>
      <c r="D181" s="190" t="s">
        <v>132</v>
      </c>
      <c r="E181" s="191" t="s">
        <v>1</v>
      </c>
      <c r="F181" s="192" t="s">
        <v>766</v>
      </c>
      <c r="H181" s="193">
        <v>0.58499999999999996</v>
      </c>
      <c r="I181" s="82"/>
      <c r="L181" s="188"/>
      <c r="M181" s="194"/>
      <c r="T181" s="195"/>
      <c r="AT181" s="191" t="s">
        <v>132</v>
      </c>
      <c r="AU181" s="191" t="s">
        <v>82</v>
      </c>
      <c r="AV181" s="189" t="s">
        <v>82</v>
      </c>
      <c r="AW181" s="189" t="s">
        <v>30</v>
      </c>
      <c r="AX181" s="189" t="s">
        <v>72</v>
      </c>
      <c r="AY181" s="191" t="s">
        <v>127</v>
      </c>
    </row>
    <row r="182" spans="2:65" s="189" customFormat="1" x14ac:dyDescent="0.2">
      <c r="B182" s="188"/>
      <c r="D182" s="190" t="s">
        <v>132</v>
      </c>
      <c r="E182" s="191" t="s">
        <v>1</v>
      </c>
      <c r="F182" s="192" t="s">
        <v>767</v>
      </c>
      <c r="H182" s="193">
        <v>6.891</v>
      </c>
      <c r="I182" s="82"/>
      <c r="L182" s="188"/>
      <c r="M182" s="194"/>
      <c r="T182" s="195"/>
      <c r="AT182" s="191" t="s">
        <v>132</v>
      </c>
      <c r="AU182" s="191" t="s">
        <v>82</v>
      </c>
      <c r="AV182" s="189" t="s">
        <v>82</v>
      </c>
      <c r="AW182" s="189" t="s">
        <v>30</v>
      </c>
      <c r="AX182" s="189" t="s">
        <v>72</v>
      </c>
      <c r="AY182" s="191" t="s">
        <v>127</v>
      </c>
    </row>
    <row r="183" spans="2:65" s="198" customFormat="1" x14ac:dyDescent="0.2">
      <c r="B183" s="197"/>
      <c r="D183" s="190" t="s">
        <v>132</v>
      </c>
      <c r="E183" s="199" t="s">
        <v>1</v>
      </c>
      <c r="F183" s="200" t="s">
        <v>133</v>
      </c>
      <c r="H183" s="201">
        <v>7.476</v>
      </c>
      <c r="I183" s="83"/>
      <c r="L183" s="197"/>
      <c r="M183" s="203"/>
      <c r="T183" s="204"/>
      <c r="AT183" s="199" t="s">
        <v>132</v>
      </c>
      <c r="AU183" s="199" t="s">
        <v>82</v>
      </c>
      <c r="AV183" s="198" t="s">
        <v>131</v>
      </c>
      <c r="AW183" s="198" t="s">
        <v>30</v>
      </c>
      <c r="AX183" s="198" t="s">
        <v>80</v>
      </c>
      <c r="AY183" s="199" t="s">
        <v>127</v>
      </c>
    </row>
    <row r="184" spans="2:65" s="99" customFormat="1" ht="16.5" customHeight="1" x14ac:dyDescent="0.2">
      <c r="B184" s="98"/>
      <c r="C184" s="214" t="s">
        <v>177</v>
      </c>
      <c r="D184" s="214" t="s">
        <v>241</v>
      </c>
      <c r="E184" s="215" t="s">
        <v>250</v>
      </c>
      <c r="F184" s="216" t="s">
        <v>251</v>
      </c>
      <c r="G184" s="217" t="s">
        <v>233</v>
      </c>
      <c r="H184" s="218">
        <v>15.356</v>
      </c>
      <c r="I184" s="85"/>
      <c r="J184" s="219">
        <f>ROUND(I184*H184,2)</f>
        <v>0</v>
      </c>
      <c r="K184" s="220"/>
      <c r="L184" s="251"/>
      <c r="M184" s="221" t="s">
        <v>1</v>
      </c>
      <c r="N184" s="222" t="s">
        <v>38</v>
      </c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AR184" s="131" t="s">
        <v>148</v>
      </c>
      <c r="AT184" s="131" t="s">
        <v>241</v>
      </c>
      <c r="AU184" s="131" t="s">
        <v>82</v>
      </c>
      <c r="AY184" s="90" t="s">
        <v>127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90" t="s">
        <v>80</v>
      </c>
      <c r="BK184" s="187">
        <f>ROUND(I184*H184,2)</f>
        <v>0</v>
      </c>
      <c r="BL184" s="90" t="s">
        <v>131</v>
      </c>
      <c r="BM184" s="131" t="s">
        <v>768</v>
      </c>
    </row>
    <row r="185" spans="2:65" s="189" customFormat="1" x14ac:dyDescent="0.2">
      <c r="B185" s="188"/>
      <c r="D185" s="190" t="s">
        <v>132</v>
      </c>
      <c r="E185" s="191" t="s">
        <v>1</v>
      </c>
      <c r="F185" s="192" t="s">
        <v>769</v>
      </c>
      <c r="H185" s="193">
        <v>15.356</v>
      </c>
      <c r="I185" s="82"/>
      <c r="L185" s="188"/>
      <c r="M185" s="194"/>
      <c r="T185" s="195"/>
      <c r="AT185" s="191" t="s">
        <v>132</v>
      </c>
      <c r="AU185" s="191" t="s">
        <v>82</v>
      </c>
      <c r="AV185" s="189" t="s">
        <v>82</v>
      </c>
      <c r="AW185" s="189" t="s">
        <v>30</v>
      </c>
      <c r="AX185" s="189" t="s">
        <v>72</v>
      </c>
      <c r="AY185" s="191" t="s">
        <v>127</v>
      </c>
    </row>
    <row r="186" spans="2:65" s="198" customFormat="1" x14ac:dyDescent="0.2">
      <c r="B186" s="197"/>
      <c r="D186" s="190" t="s">
        <v>132</v>
      </c>
      <c r="E186" s="199" t="s">
        <v>1</v>
      </c>
      <c r="F186" s="200" t="s">
        <v>133</v>
      </c>
      <c r="H186" s="201">
        <v>15.356</v>
      </c>
      <c r="I186" s="83"/>
      <c r="L186" s="197"/>
      <c r="M186" s="203"/>
      <c r="T186" s="204"/>
      <c r="AT186" s="199" t="s">
        <v>132</v>
      </c>
      <c r="AU186" s="199" t="s">
        <v>82</v>
      </c>
      <c r="AV186" s="198" t="s">
        <v>131</v>
      </c>
      <c r="AW186" s="198" t="s">
        <v>30</v>
      </c>
      <c r="AX186" s="198" t="s">
        <v>80</v>
      </c>
      <c r="AY186" s="199" t="s">
        <v>127</v>
      </c>
    </row>
    <row r="187" spans="2:65" s="99" customFormat="1" ht="24.2" customHeight="1" x14ac:dyDescent="0.2">
      <c r="B187" s="98"/>
      <c r="C187" s="176">
        <v>16</v>
      </c>
      <c r="D187" s="176" t="s">
        <v>129</v>
      </c>
      <c r="E187" s="177" t="s">
        <v>645</v>
      </c>
      <c r="F187" s="178" t="s">
        <v>646</v>
      </c>
      <c r="G187" s="179" t="s">
        <v>130</v>
      </c>
      <c r="H187" s="180">
        <f>H188</f>
        <v>24</v>
      </c>
      <c r="I187" s="80"/>
      <c r="J187" s="181">
        <f>ROUND(I187*H187,2)</f>
        <v>0</v>
      </c>
      <c r="K187" s="182"/>
      <c r="L187" s="98"/>
      <c r="M187" s="183" t="s">
        <v>1</v>
      </c>
      <c r="N187" s="184" t="s">
        <v>38</v>
      </c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AR187" s="131" t="s">
        <v>131</v>
      </c>
      <c r="AT187" s="131" t="s">
        <v>129</v>
      </c>
      <c r="AU187" s="131" t="s">
        <v>82</v>
      </c>
      <c r="AY187" s="90" t="s">
        <v>127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90" t="s">
        <v>80</v>
      </c>
      <c r="BK187" s="187">
        <f>ROUND(I187*H187,2)</f>
        <v>0</v>
      </c>
      <c r="BL187" s="90" t="s">
        <v>131</v>
      </c>
      <c r="BM187" s="131" t="s">
        <v>647</v>
      </c>
    </row>
    <row r="188" spans="2:65" s="189" customFormat="1" x14ac:dyDescent="0.2">
      <c r="B188" s="188"/>
      <c r="D188" s="190" t="s">
        <v>132</v>
      </c>
      <c r="E188" s="191" t="s">
        <v>1</v>
      </c>
      <c r="F188" s="192" t="s">
        <v>1052</v>
      </c>
      <c r="H188" s="193">
        <f>0.8*30</f>
        <v>24</v>
      </c>
      <c r="I188" s="82"/>
      <c r="L188" s="188"/>
      <c r="M188" s="194"/>
      <c r="T188" s="195"/>
      <c r="AT188" s="191" t="s">
        <v>132</v>
      </c>
      <c r="AU188" s="191" t="s">
        <v>82</v>
      </c>
      <c r="AV188" s="189" t="s">
        <v>82</v>
      </c>
      <c r="AW188" s="189" t="s">
        <v>30</v>
      </c>
      <c r="AX188" s="189" t="s">
        <v>72</v>
      </c>
      <c r="AY188" s="191" t="s">
        <v>127</v>
      </c>
    </row>
    <row r="189" spans="2:65" s="99" customFormat="1" ht="24.2" customHeight="1" x14ac:dyDescent="0.2">
      <c r="B189" s="98"/>
      <c r="C189" s="176">
        <v>17</v>
      </c>
      <c r="D189" s="176" t="s">
        <v>129</v>
      </c>
      <c r="E189" s="177" t="s">
        <v>256</v>
      </c>
      <c r="F189" s="178" t="s">
        <v>257</v>
      </c>
      <c r="G189" s="179" t="s">
        <v>130</v>
      </c>
      <c r="H189" s="180">
        <f>H190</f>
        <v>24</v>
      </c>
      <c r="I189" s="80"/>
      <c r="J189" s="181">
        <f>ROUND(I189*H189,2)</f>
        <v>0</v>
      </c>
      <c r="K189" s="182"/>
      <c r="L189" s="98"/>
      <c r="M189" s="183" t="s">
        <v>1</v>
      </c>
      <c r="N189" s="184" t="s">
        <v>38</v>
      </c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AR189" s="131" t="s">
        <v>131</v>
      </c>
      <c r="AT189" s="131" t="s">
        <v>129</v>
      </c>
      <c r="AU189" s="131" t="s">
        <v>82</v>
      </c>
      <c r="AY189" s="90" t="s">
        <v>127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90" t="s">
        <v>80</v>
      </c>
      <c r="BK189" s="187">
        <f>ROUND(I189*H189,2)</f>
        <v>0</v>
      </c>
      <c r="BL189" s="90" t="s">
        <v>131</v>
      </c>
      <c r="BM189" s="131" t="s">
        <v>648</v>
      </c>
    </row>
    <row r="190" spans="2:65" s="189" customFormat="1" x14ac:dyDescent="0.2">
      <c r="B190" s="188"/>
      <c r="D190" s="190" t="s">
        <v>132</v>
      </c>
      <c r="E190" s="191" t="s">
        <v>1</v>
      </c>
      <c r="F190" s="192" t="s">
        <v>1052</v>
      </c>
      <c r="H190" s="193">
        <f>0.8*30</f>
        <v>24</v>
      </c>
      <c r="I190" s="82"/>
      <c r="L190" s="188"/>
      <c r="M190" s="194"/>
      <c r="T190" s="195"/>
      <c r="AT190" s="191" t="s">
        <v>132</v>
      </c>
      <c r="AU190" s="191" t="s">
        <v>82</v>
      </c>
      <c r="AV190" s="189" t="s">
        <v>82</v>
      </c>
      <c r="AW190" s="189" t="s">
        <v>30</v>
      </c>
      <c r="AX190" s="189" t="s">
        <v>72</v>
      </c>
      <c r="AY190" s="191" t="s">
        <v>127</v>
      </c>
    </row>
    <row r="191" spans="2:65" s="99" customFormat="1" ht="16.5" customHeight="1" x14ac:dyDescent="0.2">
      <c r="B191" s="98"/>
      <c r="C191" s="214">
        <v>18</v>
      </c>
      <c r="D191" s="214" t="s">
        <v>241</v>
      </c>
      <c r="E191" s="215" t="s">
        <v>259</v>
      </c>
      <c r="F191" s="216" t="s">
        <v>260</v>
      </c>
      <c r="G191" s="217" t="s">
        <v>261</v>
      </c>
      <c r="H191" s="218">
        <f>H192</f>
        <v>0.36</v>
      </c>
      <c r="I191" s="85"/>
      <c r="J191" s="219">
        <f>ROUND(I191*H191,2)</f>
        <v>0</v>
      </c>
      <c r="K191" s="220"/>
      <c r="L191" s="251"/>
      <c r="M191" s="221" t="s">
        <v>1</v>
      </c>
      <c r="N191" s="222" t="s">
        <v>38</v>
      </c>
      <c r="P191" s="185">
        <f>O191*H191</f>
        <v>0</v>
      </c>
      <c r="Q191" s="185">
        <v>1E-3</v>
      </c>
      <c r="R191" s="185">
        <f>Q191*H191</f>
        <v>3.5999999999999997E-4</v>
      </c>
      <c r="S191" s="185">
        <v>0</v>
      </c>
      <c r="T191" s="186">
        <f>S191*H191</f>
        <v>0</v>
      </c>
      <c r="AR191" s="131" t="s">
        <v>148</v>
      </c>
      <c r="AT191" s="131" t="s">
        <v>241</v>
      </c>
      <c r="AU191" s="131" t="s">
        <v>82</v>
      </c>
      <c r="AY191" s="90" t="s">
        <v>127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90" t="s">
        <v>80</v>
      </c>
      <c r="BK191" s="187">
        <f>ROUND(I191*H191,2)</f>
        <v>0</v>
      </c>
      <c r="BL191" s="90" t="s">
        <v>131</v>
      </c>
      <c r="BM191" s="131" t="s">
        <v>649</v>
      </c>
    </row>
    <row r="192" spans="2:65" s="189" customFormat="1" x14ac:dyDescent="0.2">
      <c r="B192" s="188"/>
      <c r="D192" s="190" t="s">
        <v>132</v>
      </c>
      <c r="F192" s="192" t="s">
        <v>1056</v>
      </c>
      <c r="H192" s="193">
        <f>H189*0.015</f>
        <v>0.36</v>
      </c>
      <c r="I192" s="82"/>
      <c r="L192" s="188"/>
      <c r="M192" s="194"/>
      <c r="T192" s="195"/>
      <c r="AT192" s="191" t="s">
        <v>132</v>
      </c>
      <c r="AU192" s="191" t="s">
        <v>82</v>
      </c>
      <c r="AV192" s="189" t="s">
        <v>82</v>
      </c>
      <c r="AW192" s="189" t="s">
        <v>3</v>
      </c>
      <c r="AX192" s="189" t="s">
        <v>80</v>
      </c>
      <c r="AY192" s="191" t="s">
        <v>127</v>
      </c>
    </row>
    <row r="193" spans="2:65" s="164" customFormat="1" ht="22.9" customHeight="1" x14ac:dyDescent="0.2">
      <c r="B193" s="163"/>
      <c r="D193" s="165" t="s">
        <v>71</v>
      </c>
      <c r="E193" s="174" t="s">
        <v>131</v>
      </c>
      <c r="F193" s="174" t="s">
        <v>266</v>
      </c>
      <c r="I193" s="79"/>
      <c r="J193" s="175">
        <f>J194</f>
        <v>0</v>
      </c>
      <c r="L193" s="163"/>
      <c r="M193" s="169"/>
      <c r="P193" s="170">
        <f>SUM(P194:P197)</f>
        <v>0</v>
      </c>
      <c r="R193" s="170">
        <f>SUM(R194:R197)</f>
        <v>0</v>
      </c>
      <c r="T193" s="171">
        <f>SUM(T194:T197)</f>
        <v>0</v>
      </c>
      <c r="AR193" s="165" t="s">
        <v>80</v>
      </c>
      <c r="AT193" s="172" t="s">
        <v>71</v>
      </c>
      <c r="AU193" s="172" t="s">
        <v>80</v>
      </c>
      <c r="AY193" s="165" t="s">
        <v>127</v>
      </c>
      <c r="BK193" s="173">
        <f>SUM(BK194:BK197)</f>
        <v>0</v>
      </c>
    </row>
    <row r="194" spans="2:65" s="99" customFormat="1" ht="16.5" customHeight="1" x14ac:dyDescent="0.2">
      <c r="B194" s="98"/>
      <c r="C194" s="176">
        <v>19</v>
      </c>
      <c r="D194" s="176" t="s">
        <v>129</v>
      </c>
      <c r="E194" s="177" t="s">
        <v>267</v>
      </c>
      <c r="F194" s="178" t="s">
        <v>268</v>
      </c>
      <c r="G194" s="179" t="s">
        <v>180</v>
      </c>
      <c r="H194" s="180">
        <v>2.8839999999999999</v>
      </c>
      <c r="I194" s="80"/>
      <c r="J194" s="181">
        <f>ROUND(I194*H194,2)</f>
        <v>0</v>
      </c>
      <c r="K194" s="182"/>
      <c r="L194" s="98"/>
      <c r="M194" s="183" t="s">
        <v>1</v>
      </c>
      <c r="N194" s="184" t="s">
        <v>38</v>
      </c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AR194" s="131" t="s">
        <v>131</v>
      </c>
      <c r="AT194" s="131" t="s">
        <v>129</v>
      </c>
      <c r="AU194" s="131" t="s">
        <v>82</v>
      </c>
      <c r="AY194" s="90" t="s">
        <v>127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90" t="s">
        <v>80</v>
      </c>
      <c r="BK194" s="187">
        <f>ROUND(I194*H194,2)</f>
        <v>0</v>
      </c>
      <c r="BL194" s="90" t="s">
        <v>131</v>
      </c>
      <c r="BM194" s="131" t="s">
        <v>770</v>
      </c>
    </row>
    <row r="195" spans="2:65" s="189" customFormat="1" x14ac:dyDescent="0.2">
      <c r="B195" s="188"/>
      <c r="D195" s="190" t="s">
        <v>132</v>
      </c>
      <c r="E195" s="191" t="s">
        <v>1</v>
      </c>
      <c r="F195" s="192" t="s">
        <v>771</v>
      </c>
      <c r="H195" s="193">
        <v>0.23400000000000001</v>
      </c>
      <c r="I195" s="82"/>
      <c r="L195" s="188"/>
      <c r="M195" s="194"/>
      <c r="T195" s="195"/>
      <c r="AT195" s="191" t="s">
        <v>132</v>
      </c>
      <c r="AU195" s="191" t="s">
        <v>82</v>
      </c>
      <c r="AV195" s="189" t="s">
        <v>82</v>
      </c>
      <c r="AW195" s="189" t="s">
        <v>30</v>
      </c>
      <c r="AX195" s="189" t="s">
        <v>72</v>
      </c>
      <c r="AY195" s="191" t="s">
        <v>127</v>
      </c>
    </row>
    <row r="196" spans="2:65" s="189" customFormat="1" x14ac:dyDescent="0.2">
      <c r="B196" s="188"/>
      <c r="D196" s="190" t="s">
        <v>132</v>
      </c>
      <c r="E196" s="191" t="s">
        <v>1</v>
      </c>
      <c r="F196" s="192" t="s">
        <v>772</v>
      </c>
      <c r="H196" s="193">
        <v>2.65</v>
      </c>
      <c r="I196" s="82"/>
      <c r="L196" s="188"/>
      <c r="M196" s="194"/>
      <c r="T196" s="195"/>
      <c r="AT196" s="191" t="s">
        <v>132</v>
      </c>
      <c r="AU196" s="191" t="s">
        <v>82</v>
      </c>
      <c r="AV196" s="189" t="s">
        <v>82</v>
      </c>
      <c r="AW196" s="189" t="s">
        <v>30</v>
      </c>
      <c r="AX196" s="189" t="s">
        <v>72</v>
      </c>
      <c r="AY196" s="191" t="s">
        <v>127</v>
      </c>
    </row>
    <row r="197" spans="2:65" s="198" customFormat="1" x14ac:dyDescent="0.2">
      <c r="B197" s="197"/>
      <c r="D197" s="190" t="s">
        <v>132</v>
      </c>
      <c r="E197" s="199" t="s">
        <v>1</v>
      </c>
      <c r="F197" s="200" t="s">
        <v>133</v>
      </c>
      <c r="H197" s="201">
        <v>2.8839999999999999</v>
      </c>
      <c r="I197" s="83"/>
      <c r="L197" s="197"/>
      <c r="M197" s="203"/>
      <c r="T197" s="204"/>
      <c r="AT197" s="199" t="s">
        <v>132</v>
      </c>
      <c r="AU197" s="199" t="s">
        <v>82</v>
      </c>
      <c r="AV197" s="198" t="s">
        <v>131</v>
      </c>
      <c r="AW197" s="198" t="s">
        <v>30</v>
      </c>
      <c r="AX197" s="198" t="s">
        <v>80</v>
      </c>
      <c r="AY197" s="199" t="s">
        <v>127</v>
      </c>
    </row>
    <row r="198" spans="2:65" s="164" customFormat="1" ht="22.9" customHeight="1" x14ac:dyDescent="0.2">
      <c r="B198" s="163"/>
      <c r="D198" s="165" t="s">
        <v>71</v>
      </c>
      <c r="E198" s="174" t="s">
        <v>141</v>
      </c>
      <c r="F198" s="174" t="s">
        <v>274</v>
      </c>
      <c r="I198" s="79"/>
      <c r="J198" s="175">
        <f>SUM(J199:J207)</f>
        <v>0</v>
      </c>
      <c r="L198" s="163"/>
      <c r="M198" s="169"/>
      <c r="P198" s="170">
        <f>SUM(P199:P208)</f>
        <v>0</v>
      </c>
      <c r="R198" s="170">
        <f>SUM(R199:R208)</f>
        <v>0</v>
      </c>
      <c r="T198" s="171">
        <f>SUM(T199:T208)</f>
        <v>0</v>
      </c>
      <c r="AR198" s="165" t="s">
        <v>80</v>
      </c>
      <c r="AT198" s="172" t="s">
        <v>71</v>
      </c>
      <c r="AU198" s="172" t="s">
        <v>80</v>
      </c>
      <c r="AY198" s="165" t="s">
        <v>127</v>
      </c>
      <c r="BK198" s="173">
        <f>SUM(BK199:BK208)</f>
        <v>0</v>
      </c>
    </row>
    <row r="199" spans="2:65" s="99" customFormat="1" ht="21.75" customHeight="1" x14ac:dyDescent="0.2">
      <c r="B199" s="98"/>
      <c r="C199" s="176">
        <v>20</v>
      </c>
      <c r="D199" s="176" t="s">
        <v>129</v>
      </c>
      <c r="E199" s="177" t="s">
        <v>656</v>
      </c>
      <c r="F199" s="178" t="s">
        <v>657</v>
      </c>
      <c r="G199" s="179" t="s">
        <v>130</v>
      </c>
      <c r="H199" s="180">
        <f>H200</f>
        <v>9</v>
      </c>
      <c r="I199" s="80"/>
      <c r="J199" s="181">
        <f>ROUND(I199*H199,2)</f>
        <v>0</v>
      </c>
      <c r="K199" s="182"/>
      <c r="L199" s="98"/>
      <c r="M199" s="183" t="s">
        <v>1</v>
      </c>
      <c r="N199" s="184" t="s">
        <v>38</v>
      </c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AR199" s="131" t="s">
        <v>131</v>
      </c>
      <c r="AT199" s="131" t="s">
        <v>129</v>
      </c>
      <c r="AU199" s="131" t="s">
        <v>82</v>
      </c>
      <c r="AY199" s="90" t="s">
        <v>127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90" t="s">
        <v>80</v>
      </c>
      <c r="BK199" s="187">
        <f>ROUND(I199*H199,2)</f>
        <v>0</v>
      </c>
      <c r="BL199" s="90" t="s">
        <v>131</v>
      </c>
      <c r="BM199" s="131" t="s">
        <v>773</v>
      </c>
    </row>
    <row r="200" spans="2:65" s="189" customFormat="1" x14ac:dyDescent="0.2">
      <c r="B200" s="188"/>
      <c r="D200" s="190" t="s">
        <v>132</v>
      </c>
      <c r="E200" s="191" t="s">
        <v>1</v>
      </c>
      <c r="F200" s="192" t="s">
        <v>1042</v>
      </c>
      <c r="H200" s="193">
        <f>0.6*15</f>
        <v>9</v>
      </c>
      <c r="I200" s="82"/>
      <c r="L200" s="188"/>
      <c r="M200" s="194"/>
      <c r="T200" s="195"/>
      <c r="AT200" s="191" t="s">
        <v>132</v>
      </c>
      <c r="AU200" s="191" t="s">
        <v>82</v>
      </c>
      <c r="AV200" s="189" t="s">
        <v>82</v>
      </c>
      <c r="AW200" s="189" t="s">
        <v>30</v>
      </c>
      <c r="AX200" s="189" t="s">
        <v>72</v>
      </c>
      <c r="AY200" s="191" t="s">
        <v>127</v>
      </c>
    </row>
    <row r="201" spans="2:65" s="99" customFormat="1" ht="24.2" customHeight="1" x14ac:dyDescent="0.2">
      <c r="B201" s="98"/>
      <c r="C201" s="176">
        <v>21</v>
      </c>
      <c r="D201" s="176" t="s">
        <v>129</v>
      </c>
      <c r="E201" s="177" t="s">
        <v>287</v>
      </c>
      <c r="F201" s="178" t="s">
        <v>288</v>
      </c>
      <c r="G201" s="179" t="s">
        <v>130</v>
      </c>
      <c r="H201" s="180">
        <f>H202</f>
        <v>9</v>
      </c>
      <c r="I201" s="80"/>
      <c r="J201" s="181">
        <f>ROUND(I201*H201,2)</f>
        <v>0</v>
      </c>
      <c r="K201" s="182"/>
      <c r="L201" s="98"/>
      <c r="M201" s="183" t="s">
        <v>1</v>
      </c>
      <c r="N201" s="184" t="s">
        <v>38</v>
      </c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AR201" s="131" t="s">
        <v>131</v>
      </c>
      <c r="AT201" s="131" t="s">
        <v>129</v>
      </c>
      <c r="AU201" s="131" t="s">
        <v>82</v>
      </c>
      <c r="AY201" s="90" t="s">
        <v>127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90" t="s">
        <v>80</v>
      </c>
      <c r="BK201" s="187">
        <f>ROUND(I201*H201,2)</f>
        <v>0</v>
      </c>
      <c r="BL201" s="90" t="s">
        <v>131</v>
      </c>
      <c r="BM201" s="131" t="s">
        <v>774</v>
      </c>
    </row>
    <row r="202" spans="2:65" s="189" customFormat="1" x14ac:dyDescent="0.2">
      <c r="B202" s="188"/>
      <c r="D202" s="190" t="s">
        <v>132</v>
      </c>
      <c r="E202" s="191" t="s">
        <v>1</v>
      </c>
      <c r="F202" s="192" t="s">
        <v>1042</v>
      </c>
      <c r="H202" s="193">
        <f>0.6*15</f>
        <v>9</v>
      </c>
      <c r="I202" s="82"/>
      <c r="L202" s="188"/>
      <c r="M202" s="194"/>
      <c r="T202" s="195"/>
      <c r="AT202" s="191" t="s">
        <v>132</v>
      </c>
      <c r="AU202" s="191" t="s">
        <v>82</v>
      </c>
      <c r="AV202" s="189" t="s">
        <v>82</v>
      </c>
      <c r="AW202" s="189" t="s">
        <v>30</v>
      </c>
      <c r="AX202" s="189" t="s">
        <v>72</v>
      </c>
      <c r="AY202" s="191" t="s">
        <v>127</v>
      </c>
    </row>
    <row r="203" spans="2:65" s="99" customFormat="1" ht="24.2" customHeight="1" x14ac:dyDescent="0.2">
      <c r="B203" s="98"/>
      <c r="C203" s="176">
        <v>22</v>
      </c>
      <c r="D203" s="176" t="s">
        <v>129</v>
      </c>
      <c r="E203" s="177" t="s">
        <v>291</v>
      </c>
      <c r="F203" s="178" t="s">
        <v>292</v>
      </c>
      <c r="G203" s="179" t="s">
        <v>130</v>
      </c>
      <c r="H203" s="180">
        <f>H204</f>
        <v>9</v>
      </c>
      <c r="I203" s="80"/>
      <c r="J203" s="181">
        <f>ROUND(I203*H203,2)</f>
        <v>0</v>
      </c>
      <c r="K203" s="182"/>
      <c r="L203" s="98"/>
      <c r="M203" s="183" t="s">
        <v>1</v>
      </c>
      <c r="N203" s="184" t="s">
        <v>38</v>
      </c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AR203" s="131" t="s">
        <v>131</v>
      </c>
      <c r="AT203" s="131" t="s">
        <v>129</v>
      </c>
      <c r="AU203" s="131" t="s">
        <v>82</v>
      </c>
      <c r="AY203" s="90" t="s">
        <v>127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90" t="s">
        <v>80</v>
      </c>
      <c r="BK203" s="187">
        <f>ROUND(I203*H203,2)</f>
        <v>0</v>
      </c>
      <c r="BL203" s="90" t="s">
        <v>131</v>
      </c>
      <c r="BM203" s="131" t="s">
        <v>775</v>
      </c>
    </row>
    <row r="204" spans="2:65" s="189" customFormat="1" x14ac:dyDescent="0.2">
      <c r="B204" s="188"/>
      <c r="D204" s="190" t="s">
        <v>132</v>
      </c>
      <c r="E204" s="191" t="s">
        <v>1</v>
      </c>
      <c r="F204" s="192" t="s">
        <v>1042</v>
      </c>
      <c r="H204" s="193">
        <f>0.6*15</f>
        <v>9</v>
      </c>
      <c r="I204" s="82"/>
      <c r="L204" s="188"/>
      <c r="M204" s="194"/>
      <c r="T204" s="195"/>
      <c r="AT204" s="191" t="s">
        <v>132</v>
      </c>
      <c r="AU204" s="191" t="s">
        <v>82</v>
      </c>
      <c r="AV204" s="189" t="s">
        <v>82</v>
      </c>
      <c r="AW204" s="189" t="s">
        <v>30</v>
      </c>
      <c r="AX204" s="189" t="s">
        <v>72</v>
      </c>
      <c r="AY204" s="191" t="s">
        <v>127</v>
      </c>
    </row>
    <row r="205" spans="2:65" s="99" customFormat="1" ht="33" customHeight="1" x14ac:dyDescent="0.2">
      <c r="B205" s="98"/>
      <c r="C205" s="176">
        <v>23</v>
      </c>
      <c r="D205" s="176" t="s">
        <v>129</v>
      </c>
      <c r="E205" s="177" t="s">
        <v>297</v>
      </c>
      <c r="F205" s="178" t="s">
        <v>298</v>
      </c>
      <c r="G205" s="179" t="s">
        <v>130</v>
      </c>
      <c r="H205" s="180">
        <f>H206</f>
        <v>9</v>
      </c>
      <c r="I205" s="80"/>
      <c r="J205" s="181">
        <f>ROUND(I205*H205,2)</f>
        <v>0</v>
      </c>
      <c r="K205" s="182"/>
      <c r="L205" s="98"/>
      <c r="M205" s="183" t="s">
        <v>1</v>
      </c>
      <c r="N205" s="184" t="s">
        <v>38</v>
      </c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AR205" s="131" t="s">
        <v>131</v>
      </c>
      <c r="AT205" s="131" t="s">
        <v>129</v>
      </c>
      <c r="AU205" s="131" t="s">
        <v>82</v>
      </c>
      <c r="AY205" s="90" t="s">
        <v>127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90" t="s">
        <v>80</v>
      </c>
      <c r="BK205" s="187">
        <f>ROUND(I205*H205,2)</f>
        <v>0</v>
      </c>
      <c r="BL205" s="90" t="s">
        <v>131</v>
      </c>
      <c r="BM205" s="131" t="s">
        <v>776</v>
      </c>
    </row>
    <row r="206" spans="2:65" s="189" customFormat="1" x14ac:dyDescent="0.2">
      <c r="B206" s="188"/>
      <c r="D206" s="190" t="s">
        <v>132</v>
      </c>
      <c r="E206" s="191" t="s">
        <v>1</v>
      </c>
      <c r="F206" s="192" t="s">
        <v>1042</v>
      </c>
      <c r="H206" s="193">
        <f>0.6*15</f>
        <v>9</v>
      </c>
      <c r="I206" s="82"/>
      <c r="L206" s="188"/>
      <c r="M206" s="194"/>
      <c r="T206" s="195"/>
      <c r="AT206" s="191" t="s">
        <v>132</v>
      </c>
      <c r="AU206" s="191" t="s">
        <v>82</v>
      </c>
      <c r="AV206" s="189" t="s">
        <v>82</v>
      </c>
      <c r="AW206" s="189" t="s">
        <v>30</v>
      </c>
      <c r="AX206" s="189" t="s">
        <v>72</v>
      </c>
      <c r="AY206" s="191" t="s">
        <v>127</v>
      </c>
    </row>
    <row r="207" spans="2:65" s="99" customFormat="1" ht="24.2" customHeight="1" x14ac:dyDescent="0.2">
      <c r="B207" s="98"/>
      <c r="C207" s="176">
        <v>24</v>
      </c>
      <c r="D207" s="176" t="s">
        <v>129</v>
      </c>
      <c r="E207" s="177" t="s">
        <v>306</v>
      </c>
      <c r="F207" s="178" t="s">
        <v>307</v>
      </c>
      <c r="G207" s="179" t="s">
        <v>130</v>
      </c>
      <c r="H207" s="180">
        <f>H208</f>
        <v>9</v>
      </c>
      <c r="I207" s="80"/>
      <c r="J207" s="181">
        <f>ROUND(I207*H207,2)</f>
        <v>0</v>
      </c>
      <c r="K207" s="182"/>
      <c r="L207" s="98"/>
      <c r="M207" s="183" t="s">
        <v>1</v>
      </c>
      <c r="N207" s="184" t="s">
        <v>38</v>
      </c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AR207" s="131" t="s">
        <v>131</v>
      </c>
      <c r="AT207" s="131" t="s">
        <v>129</v>
      </c>
      <c r="AU207" s="131" t="s">
        <v>82</v>
      </c>
      <c r="AY207" s="90" t="s">
        <v>127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90" t="s">
        <v>80</v>
      </c>
      <c r="BK207" s="187">
        <f>ROUND(I207*H207,2)</f>
        <v>0</v>
      </c>
      <c r="BL207" s="90" t="s">
        <v>131</v>
      </c>
      <c r="BM207" s="131" t="s">
        <v>777</v>
      </c>
    </row>
    <row r="208" spans="2:65" s="189" customFormat="1" x14ac:dyDescent="0.2">
      <c r="B208" s="188"/>
      <c r="D208" s="190" t="s">
        <v>132</v>
      </c>
      <c r="E208" s="191" t="s">
        <v>1</v>
      </c>
      <c r="F208" s="192" t="s">
        <v>1042</v>
      </c>
      <c r="H208" s="193">
        <f>0.6*15</f>
        <v>9</v>
      </c>
      <c r="I208" s="82"/>
      <c r="L208" s="188"/>
      <c r="M208" s="194"/>
      <c r="T208" s="195"/>
      <c r="AT208" s="191" t="s">
        <v>132</v>
      </c>
      <c r="AU208" s="191" t="s">
        <v>82</v>
      </c>
      <c r="AV208" s="189" t="s">
        <v>82</v>
      </c>
      <c r="AW208" s="189" t="s">
        <v>30</v>
      </c>
      <c r="AX208" s="189" t="s">
        <v>72</v>
      </c>
      <c r="AY208" s="191" t="s">
        <v>127</v>
      </c>
    </row>
    <row r="209" spans="2:65" s="164" customFormat="1" ht="22.9" customHeight="1" x14ac:dyDescent="0.2">
      <c r="B209" s="163"/>
      <c r="D209" s="165" t="s">
        <v>71</v>
      </c>
      <c r="E209" s="174" t="s">
        <v>148</v>
      </c>
      <c r="F209" s="174" t="s">
        <v>309</v>
      </c>
      <c r="I209" s="79"/>
      <c r="J209" s="175">
        <f>SUM(J210:J214)</f>
        <v>0</v>
      </c>
      <c r="L209" s="163"/>
      <c r="M209" s="169"/>
      <c r="P209" s="170">
        <f>SUM(P210:P216)</f>
        <v>0</v>
      </c>
      <c r="R209" s="170">
        <f>SUM(R210:R216)</f>
        <v>1.6142400000000001E-2</v>
      </c>
      <c r="T209" s="171">
        <f>SUM(T210:T216)</f>
        <v>0</v>
      </c>
      <c r="AR209" s="165" t="s">
        <v>80</v>
      </c>
      <c r="AT209" s="172" t="s">
        <v>71</v>
      </c>
      <c r="AU209" s="172" t="s">
        <v>80</v>
      </c>
      <c r="AY209" s="165" t="s">
        <v>127</v>
      </c>
      <c r="BK209" s="173">
        <f>SUM(BK210:BK216)</f>
        <v>0</v>
      </c>
    </row>
    <row r="210" spans="2:65" s="99" customFormat="1" ht="16.5" customHeight="1" x14ac:dyDescent="0.2">
      <c r="B210" s="98"/>
      <c r="C210" s="176">
        <v>25</v>
      </c>
      <c r="D210" s="176" t="s">
        <v>129</v>
      </c>
      <c r="E210" s="177" t="s">
        <v>778</v>
      </c>
      <c r="F210" s="178" t="s">
        <v>1087</v>
      </c>
      <c r="G210" s="179" t="s">
        <v>160</v>
      </c>
      <c r="H210" s="180">
        <v>48.07</v>
      </c>
      <c r="I210" s="80"/>
      <c r="J210" s="181">
        <f>ROUND(I210*H210,2)</f>
        <v>0</v>
      </c>
      <c r="K210" s="182"/>
      <c r="L210" s="98"/>
      <c r="M210" s="183" t="s">
        <v>1</v>
      </c>
      <c r="N210" s="184" t="s">
        <v>38</v>
      </c>
      <c r="P210" s="185">
        <f>O210*H210</f>
        <v>0</v>
      </c>
      <c r="Q210" s="185">
        <v>1.9000000000000001E-4</v>
      </c>
      <c r="R210" s="185">
        <f>Q210*H210</f>
        <v>9.1333000000000004E-3</v>
      </c>
      <c r="S210" s="185">
        <v>0</v>
      </c>
      <c r="T210" s="186">
        <f>S210*H210</f>
        <v>0</v>
      </c>
      <c r="AR210" s="131" t="s">
        <v>131</v>
      </c>
      <c r="AT210" s="131" t="s">
        <v>129</v>
      </c>
      <c r="AU210" s="131" t="s">
        <v>82</v>
      </c>
      <c r="AY210" s="90" t="s">
        <v>127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90" t="s">
        <v>80</v>
      </c>
      <c r="BK210" s="187">
        <f>ROUND(I210*H210,2)</f>
        <v>0</v>
      </c>
      <c r="BL210" s="90" t="s">
        <v>131</v>
      </c>
      <c r="BM210" s="131" t="s">
        <v>779</v>
      </c>
    </row>
    <row r="211" spans="2:65" s="189" customFormat="1" x14ac:dyDescent="0.2">
      <c r="B211" s="188"/>
      <c r="D211" s="190" t="s">
        <v>132</v>
      </c>
      <c r="E211" s="191" t="s">
        <v>1</v>
      </c>
      <c r="F211" s="192" t="s">
        <v>780</v>
      </c>
      <c r="H211" s="193">
        <v>48.07</v>
      </c>
      <c r="I211" s="82"/>
      <c r="L211" s="188"/>
      <c r="M211" s="194"/>
      <c r="T211" s="195"/>
      <c r="AT211" s="191" t="s">
        <v>132</v>
      </c>
      <c r="AU211" s="191" t="s">
        <v>82</v>
      </c>
      <c r="AV211" s="189" t="s">
        <v>82</v>
      </c>
      <c r="AW211" s="189" t="s">
        <v>30</v>
      </c>
      <c r="AX211" s="189" t="s">
        <v>72</v>
      </c>
      <c r="AY211" s="191" t="s">
        <v>127</v>
      </c>
    </row>
    <row r="212" spans="2:65" s="198" customFormat="1" x14ac:dyDescent="0.2">
      <c r="B212" s="197"/>
      <c r="D212" s="190" t="s">
        <v>132</v>
      </c>
      <c r="E212" s="199" t="s">
        <v>1</v>
      </c>
      <c r="F212" s="200" t="s">
        <v>133</v>
      </c>
      <c r="H212" s="201">
        <v>48.07</v>
      </c>
      <c r="I212" s="83"/>
      <c r="L212" s="197"/>
      <c r="M212" s="203"/>
      <c r="T212" s="204"/>
      <c r="AT212" s="199" t="s">
        <v>132</v>
      </c>
      <c r="AU212" s="199" t="s">
        <v>82</v>
      </c>
      <c r="AV212" s="198" t="s">
        <v>131</v>
      </c>
      <c r="AW212" s="198" t="s">
        <v>30</v>
      </c>
      <c r="AX212" s="198" t="s">
        <v>80</v>
      </c>
      <c r="AY212" s="199" t="s">
        <v>127</v>
      </c>
    </row>
    <row r="213" spans="2:65" s="101" customFormat="1" ht="27" customHeight="1" x14ac:dyDescent="0.2">
      <c r="B213" s="98"/>
      <c r="C213" s="176" t="s">
        <v>1088</v>
      </c>
      <c r="D213" s="176" t="s">
        <v>129</v>
      </c>
      <c r="E213" s="177"/>
      <c r="F213" s="178" t="s">
        <v>1089</v>
      </c>
      <c r="G213" s="179" t="s">
        <v>886</v>
      </c>
      <c r="H213" s="180">
        <v>4</v>
      </c>
      <c r="I213" s="80"/>
      <c r="J213" s="181">
        <f>ROUND(I213*H213,2)</f>
        <v>0</v>
      </c>
      <c r="K213" s="182"/>
      <c r="L213" s="98"/>
      <c r="M213" s="183" t="s">
        <v>1</v>
      </c>
      <c r="N213" s="184" t="s">
        <v>38</v>
      </c>
      <c r="P213" s="185">
        <f>O213*H213</f>
        <v>0</v>
      </c>
      <c r="Q213" s="185">
        <v>1.9000000000000001E-4</v>
      </c>
      <c r="R213" s="185">
        <f>Q213*H213</f>
        <v>7.6000000000000004E-4</v>
      </c>
      <c r="S213" s="185">
        <v>0</v>
      </c>
      <c r="T213" s="186">
        <f>S213*H213</f>
        <v>0</v>
      </c>
      <c r="AR213" s="131" t="s">
        <v>131</v>
      </c>
      <c r="AT213" s="131" t="s">
        <v>129</v>
      </c>
      <c r="AU213" s="131" t="s">
        <v>82</v>
      </c>
      <c r="AY213" s="90" t="s">
        <v>127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90" t="s">
        <v>80</v>
      </c>
      <c r="BK213" s="187">
        <f>ROUND(I213*H213,2)</f>
        <v>0</v>
      </c>
      <c r="BL213" s="90" t="s">
        <v>131</v>
      </c>
      <c r="BM213" s="131" t="s">
        <v>779</v>
      </c>
    </row>
    <row r="214" spans="2:65" s="99" customFormat="1" ht="24.2" customHeight="1" x14ac:dyDescent="0.2">
      <c r="B214" s="98"/>
      <c r="C214" s="176">
        <v>26</v>
      </c>
      <c r="D214" s="176" t="s">
        <v>129</v>
      </c>
      <c r="E214" s="177" t="s">
        <v>577</v>
      </c>
      <c r="F214" s="178" t="s">
        <v>578</v>
      </c>
      <c r="G214" s="179" t="s">
        <v>160</v>
      </c>
      <c r="H214" s="180">
        <v>48.07</v>
      </c>
      <c r="I214" s="80"/>
      <c r="J214" s="181">
        <f>ROUND(I214*H214,2)</f>
        <v>0</v>
      </c>
      <c r="K214" s="182"/>
      <c r="L214" s="98"/>
      <c r="M214" s="183" t="s">
        <v>1</v>
      </c>
      <c r="N214" s="184" t="s">
        <v>38</v>
      </c>
      <c r="P214" s="185">
        <f>O214*H214</f>
        <v>0</v>
      </c>
      <c r="Q214" s="185">
        <v>1.2999999999999999E-4</v>
      </c>
      <c r="R214" s="185">
        <f>Q214*H214</f>
        <v>6.2490999999999996E-3</v>
      </c>
      <c r="S214" s="185">
        <v>0</v>
      </c>
      <c r="T214" s="186">
        <f>S214*H214</f>
        <v>0</v>
      </c>
      <c r="AR214" s="131" t="s">
        <v>131</v>
      </c>
      <c r="AT214" s="131" t="s">
        <v>129</v>
      </c>
      <c r="AU214" s="131" t="s">
        <v>82</v>
      </c>
      <c r="AY214" s="90" t="s">
        <v>127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90" t="s">
        <v>80</v>
      </c>
      <c r="BK214" s="187">
        <f>ROUND(I214*H214,2)</f>
        <v>0</v>
      </c>
      <c r="BL214" s="90" t="s">
        <v>131</v>
      </c>
      <c r="BM214" s="131" t="s">
        <v>781</v>
      </c>
    </row>
    <row r="215" spans="2:65" s="189" customFormat="1" x14ac:dyDescent="0.2">
      <c r="B215" s="188"/>
      <c r="D215" s="190" t="s">
        <v>132</v>
      </c>
      <c r="E215" s="191" t="s">
        <v>1</v>
      </c>
      <c r="F215" s="192" t="s">
        <v>780</v>
      </c>
      <c r="H215" s="193">
        <v>48.07</v>
      </c>
      <c r="I215" s="82"/>
      <c r="L215" s="188"/>
      <c r="M215" s="194"/>
      <c r="T215" s="195"/>
      <c r="AT215" s="191" t="s">
        <v>132</v>
      </c>
      <c r="AU215" s="191" t="s">
        <v>82</v>
      </c>
      <c r="AV215" s="189" t="s">
        <v>82</v>
      </c>
      <c r="AW215" s="189" t="s">
        <v>30</v>
      </c>
      <c r="AX215" s="189" t="s">
        <v>72</v>
      </c>
      <c r="AY215" s="191" t="s">
        <v>127</v>
      </c>
    </row>
    <row r="216" spans="2:65" s="198" customFormat="1" x14ac:dyDescent="0.2">
      <c r="B216" s="197"/>
      <c r="D216" s="190" t="s">
        <v>132</v>
      </c>
      <c r="E216" s="199" t="s">
        <v>1</v>
      </c>
      <c r="F216" s="200" t="s">
        <v>133</v>
      </c>
      <c r="H216" s="201">
        <v>48.07</v>
      </c>
      <c r="I216" s="83"/>
      <c r="L216" s="197"/>
      <c r="M216" s="203"/>
      <c r="T216" s="204"/>
      <c r="AT216" s="199" t="s">
        <v>132</v>
      </c>
      <c r="AU216" s="199" t="s">
        <v>82</v>
      </c>
      <c r="AV216" s="198" t="s">
        <v>131</v>
      </c>
      <c r="AW216" s="198" t="s">
        <v>30</v>
      </c>
      <c r="AX216" s="198" t="s">
        <v>80</v>
      </c>
      <c r="AY216" s="199" t="s">
        <v>127</v>
      </c>
    </row>
    <row r="217" spans="2:65" s="164" customFormat="1" ht="22.9" customHeight="1" x14ac:dyDescent="0.2">
      <c r="B217" s="163"/>
      <c r="D217" s="165" t="s">
        <v>71</v>
      </c>
      <c r="E217" s="174" t="s">
        <v>153</v>
      </c>
      <c r="F217" s="174" t="s">
        <v>582</v>
      </c>
      <c r="I217" s="79"/>
      <c r="J217" s="175">
        <f>SUM(J218:J221)</f>
        <v>0</v>
      </c>
      <c r="L217" s="163"/>
      <c r="M217" s="169"/>
      <c r="P217" s="170" t="e">
        <f>SUM(#REF!)</f>
        <v>#REF!</v>
      </c>
      <c r="R217" s="170"/>
      <c r="T217" s="171"/>
      <c r="AR217" s="165" t="s">
        <v>80</v>
      </c>
      <c r="AT217" s="172" t="s">
        <v>71</v>
      </c>
      <c r="AU217" s="172" t="s">
        <v>80</v>
      </c>
      <c r="AY217" s="165" t="s">
        <v>127</v>
      </c>
      <c r="BK217" s="173" t="e">
        <f>SUM(#REF!)</f>
        <v>#REF!</v>
      </c>
    </row>
    <row r="218" spans="2:65" s="99" customFormat="1" ht="135" customHeight="1" x14ac:dyDescent="0.2">
      <c r="B218" s="98"/>
      <c r="C218" s="176">
        <v>27</v>
      </c>
      <c r="D218" s="176" t="s">
        <v>129</v>
      </c>
      <c r="E218" s="177"/>
      <c r="F218" s="178" t="s">
        <v>1047</v>
      </c>
      <c r="G218" s="179" t="s">
        <v>557</v>
      </c>
      <c r="H218" s="180">
        <v>1</v>
      </c>
      <c r="I218" s="80"/>
      <c r="J218" s="181">
        <f t="shared" ref="J218:J221" si="0">ROUND(I218*H218,2)</f>
        <v>0</v>
      </c>
      <c r="K218" s="182"/>
      <c r="L218" s="98"/>
      <c r="M218" s="183" t="s">
        <v>1</v>
      </c>
      <c r="N218" s="184" t="s">
        <v>38</v>
      </c>
      <c r="P218" s="185">
        <f t="shared" ref="P218:P221" si="1">O218*H218</f>
        <v>0</v>
      </c>
      <c r="Q218" s="185">
        <v>1.2999999999999999E-4</v>
      </c>
      <c r="R218" s="185">
        <f t="shared" ref="R218:R221" si="2">Q218*H218</f>
        <v>1.2999999999999999E-4</v>
      </c>
      <c r="S218" s="185">
        <v>0</v>
      </c>
      <c r="T218" s="186">
        <f t="shared" ref="T218:T221" si="3">S218*H218</f>
        <v>0</v>
      </c>
      <c r="AR218" s="131" t="s">
        <v>131</v>
      </c>
      <c r="AT218" s="131" t="s">
        <v>129</v>
      </c>
      <c r="AU218" s="131" t="s">
        <v>82</v>
      </c>
      <c r="AY218" s="90" t="s">
        <v>127</v>
      </c>
      <c r="BE218" s="187">
        <f t="shared" ref="BE218:BE221" si="4">IF(N218="základní",J218,0)</f>
        <v>0</v>
      </c>
      <c r="BF218" s="187">
        <f t="shared" ref="BF218:BF221" si="5">IF(N218="snížená",J218,0)</f>
        <v>0</v>
      </c>
      <c r="BG218" s="187">
        <f t="shared" ref="BG218:BG221" si="6">IF(N218="zákl. přenesená",J218,0)</f>
        <v>0</v>
      </c>
      <c r="BH218" s="187">
        <f t="shared" ref="BH218:BH221" si="7">IF(N218="sníž. přenesená",J218,0)</f>
        <v>0</v>
      </c>
      <c r="BI218" s="187">
        <f t="shared" ref="BI218:BI221" si="8">IF(N218="nulová",J218,0)</f>
        <v>0</v>
      </c>
      <c r="BJ218" s="90" t="s">
        <v>80</v>
      </c>
      <c r="BK218" s="187">
        <f t="shared" ref="BK218:BK221" si="9">ROUND(I218*H218,2)</f>
        <v>0</v>
      </c>
      <c r="BL218" s="90" t="s">
        <v>131</v>
      </c>
      <c r="BM218" s="131" t="s">
        <v>781</v>
      </c>
    </row>
    <row r="219" spans="2:65" s="99" customFormat="1" ht="81.75" customHeight="1" x14ac:dyDescent="0.2">
      <c r="B219" s="98"/>
      <c r="C219" s="176">
        <v>28</v>
      </c>
      <c r="D219" s="176" t="s">
        <v>129</v>
      </c>
      <c r="E219" s="177"/>
      <c r="F219" s="178" t="s">
        <v>1048</v>
      </c>
      <c r="G219" s="179" t="s">
        <v>557</v>
      </c>
      <c r="H219" s="180">
        <v>1</v>
      </c>
      <c r="I219" s="80"/>
      <c r="J219" s="181">
        <f t="shared" si="0"/>
        <v>0</v>
      </c>
      <c r="K219" s="182"/>
      <c r="L219" s="98"/>
      <c r="M219" s="183" t="s">
        <v>1</v>
      </c>
      <c r="N219" s="184" t="s">
        <v>38</v>
      </c>
      <c r="P219" s="185">
        <f t="shared" si="1"/>
        <v>0</v>
      </c>
      <c r="Q219" s="185">
        <v>1.2999999999999999E-4</v>
      </c>
      <c r="R219" s="185">
        <f t="shared" si="2"/>
        <v>1.2999999999999999E-4</v>
      </c>
      <c r="S219" s="185">
        <v>0</v>
      </c>
      <c r="T219" s="186">
        <f t="shared" si="3"/>
        <v>0</v>
      </c>
      <c r="AR219" s="131" t="s">
        <v>131</v>
      </c>
      <c r="AT219" s="131" t="s">
        <v>129</v>
      </c>
      <c r="AU219" s="131" t="s">
        <v>82</v>
      </c>
      <c r="AY219" s="90" t="s">
        <v>127</v>
      </c>
      <c r="BE219" s="187">
        <f t="shared" si="4"/>
        <v>0</v>
      </c>
      <c r="BF219" s="187">
        <f t="shared" si="5"/>
        <v>0</v>
      </c>
      <c r="BG219" s="187">
        <f t="shared" si="6"/>
        <v>0</v>
      </c>
      <c r="BH219" s="187">
        <f t="shared" si="7"/>
        <v>0</v>
      </c>
      <c r="BI219" s="187">
        <f t="shared" si="8"/>
        <v>0</v>
      </c>
      <c r="BJ219" s="90" t="s">
        <v>80</v>
      </c>
      <c r="BK219" s="187">
        <f t="shared" si="9"/>
        <v>0</v>
      </c>
      <c r="BL219" s="90" t="s">
        <v>131</v>
      </c>
      <c r="BM219" s="131" t="s">
        <v>781</v>
      </c>
    </row>
    <row r="220" spans="2:65" s="99" customFormat="1" ht="62.25" customHeight="1" x14ac:dyDescent="0.2">
      <c r="B220" s="98"/>
      <c r="C220" s="176">
        <v>29</v>
      </c>
      <c r="D220" s="176" t="s">
        <v>129</v>
      </c>
      <c r="E220" s="177"/>
      <c r="F220" s="178" t="s">
        <v>1049</v>
      </c>
      <c r="G220" s="179" t="s">
        <v>557</v>
      </c>
      <c r="H220" s="180">
        <v>1</v>
      </c>
      <c r="I220" s="80"/>
      <c r="J220" s="181">
        <f t="shared" si="0"/>
        <v>0</v>
      </c>
      <c r="K220" s="182"/>
      <c r="L220" s="98"/>
      <c r="M220" s="183" t="s">
        <v>1</v>
      </c>
      <c r="N220" s="184" t="s">
        <v>38</v>
      </c>
      <c r="P220" s="185">
        <f t="shared" si="1"/>
        <v>0</v>
      </c>
      <c r="Q220" s="185">
        <v>1.2999999999999999E-4</v>
      </c>
      <c r="R220" s="185">
        <f t="shared" si="2"/>
        <v>1.2999999999999999E-4</v>
      </c>
      <c r="S220" s="185">
        <v>0</v>
      </c>
      <c r="T220" s="186">
        <f t="shared" si="3"/>
        <v>0</v>
      </c>
      <c r="AR220" s="131" t="s">
        <v>131</v>
      </c>
      <c r="AT220" s="131" t="s">
        <v>129</v>
      </c>
      <c r="AU220" s="131" t="s">
        <v>82</v>
      </c>
      <c r="AY220" s="90" t="s">
        <v>127</v>
      </c>
      <c r="BE220" s="187">
        <f t="shared" si="4"/>
        <v>0</v>
      </c>
      <c r="BF220" s="187">
        <f t="shared" si="5"/>
        <v>0</v>
      </c>
      <c r="BG220" s="187">
        <f t="shared" si="6"/>
        <v>0</v>
      </c>
      <c r="BH220" s="187">
        <f t="shared" si="7"/>
        <v>0</v>
      </c>
      <c r="BI220" s="187">
        <f t="shared" si="8"/>
        <v>0</v>
      </c>
      <c r="BJ220" s="90" t="s">
        <v>80</v>
      </c>
      <c r="BK220" s="187">
        <f t="shared" si="9"/>
        <v>0</v>
      </c>
      <c r="BL220" s="90" t="s">
        <v>131</v>
      </c>
      <c r="BM220" s="131" t="s">
        <v>781</v>
      </c>
    </row>
    <row r="221" spans="2:65" s="99" customFormat="1" ht="62.25" customHeight="1" x14ac:dyDescent="0.2">
      <c r="B221" s="98"/>
      <c r="C221" s="176">
        <v>30</v>
      </c>
      <c r="D221" s="176" t="s">
        <v>129</v>
      </c>
      <c r="E221" s="177"/>
      <c r="F221" s="178" t="s">
        <v>1090</v>
      </c>
      <c r="G221" s="179" t="s">
        <v>557</v>
      </c>
      <c r="H221" s="180">
        <v>1</v>
      </c>
      <c r="I221" s="80"/>
      <c r="J221" s="181">
        <f t="shared" si="0"/>
        <v>0</v>
      </c>
      <c r="K221" s="182"/>
      <c r="L221" s="98"/>
      <c r="M221" s="183" t="s">
        <v>1</v>
      </c>
      <c r="N221" s="184" t="s">
        <v>38</v>
      </c>
      <c r="P221" s="185">
        <f t="shared" si="1"/>
        <v>0</v>
      </c>
      <c r="Q221" s="185">
        <v>1.2999999999999999E-4</v>
      </c>
      <c r="R221" s="185">
        <f t="shared" si="2"/>
        <v>1.2999999999999999E-4</v>
      </c>
      <c r="S221" s="185">
        <v>0</v>
      </c>
      <c r="T221" s="186">
        <f t="shared" si="3"/>
        <v>0</v>
      </c>
      <c r="AR221" s="131" t="s">
        <v>131</v>
      </c>
      <c r="AT221" s="131" t="s">
        <v>129</v>
      </c>
      <c r="AU221" s="131" t="s">
        <v>82</v>
      </c>
      <c r="AY221" s="90" t="s">
        <v>127</v>
      </c>
      <c r="BE221" s="187">
        <f t="shared" si="4"/>
        <v>0</v>
      </c>
      <c r="BF221" s="187">
        <f t="shared" si="5"/>
        <v>0</v>
      </c>
      <c r="BG221" s="187">
        <f t="shared" si="6"/>
        <v>0</v>
      </c>
      <c r="BH221" s="187">
        <f t="shared" si="7"/>
        <v>0</v>
      </c>
      <c r="BI221" s="187">
        <f t="shared" si="8"/>
        <v>0</v>
      </c>
      <c r="BJ221" s="90" t="s">
        <v>80</v>
      </c>
      <c r="BK221" s="187">
        <f t="shared" si="9"/>
        <v>0</v>
      </c>
      <c r="BL221" s="90" t="s">
        <v>131</v>
      </c>
      <c r="BM221" s="131" t="s">
        <v>781</v>
      </c>
    </row>
    <row r="222" spans="2:65" s="164" customFormat="1" ht="22.9" customHeight="1" x14ac:dyDescent="0.2">
      <c r="B222" s="163"/>
      <c r="D222" s="165" t="s">
        <v>71</v>
      </c>
      <c r="E222" s="174" t="s">
        <v>599</v>
      </c>
      <c r="F222" s="174" t="s">
        <v>600</v>
      </c>
      <c r="I222" s="79"/>
      <c r="J222" s="175">
        <f>SUM(J223:J225)</f>
        <v>0</v>
      </c>
      <c r="L222" s="163"/>
      <c r="M222" s="169"/>
      <c r="P222" s="170">
        <f>SUM(P223:P226)</f>
        <v>0</v>
      </c>
      <c r="R222" s="170">
        <f>SUM(R223:R226)</f>
        <v>0</v>
      </c>
      <c r="T222" s="171">
        <f>SUM(T223:T226)</f>
        <v>0</v>
      </c>
      <c r="AR222" s="165" t="s">
        <v>80</v>
      </c>
      <c r="AT222" s="172" t="s">
        <v>71</v>
      </c>
      <c r="AU222" s="172" t="s">
        <v>80</v>
      </c>
      <c r="AY222" s="165" t="s">
        <v>127</v>
      </c>
      <c r="BK222" s="173">
        <f>SUM(BK223:BK226)</f>
        <v>0</v>
      </c>
    </row>
    <row r="223" spans="2:65" s="99" customFormat="1" ht="21.75" customHeight="1" x14ac:dyDescent="0.2">
      <c r="B223" s="98"/>
      <c r="C223" s="176">
        <v>31</v>
      </c>
      <c r="D223" s="176" t="s">
        <v>129</v>
      </c>
      <c r="E223" s="177"/>
      <c r="F223" s="178" t="s">
        <v>967</v>
      </c>
      <c r="G223" s="179" t="s">
        <v>233</v>
      </c>
      <c r="H223" s="180">
        <v>15.661</v>
      </c>
      <c r="I223" s="80"/>
      <c r="J223" s="181">
        <f>ROUND(I223*H223,2)</f>
        <v>0</v>
      </c>
      <c r="K223" s="182"/>
      <c r="L223" s="98"/>
      <c r="M223" s="183" t="s">
        <v>1</v>
      </c>
      <c r="N223" s="184" t="s">
        <v>38</v>
      </c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AR223" s="131" t="s">
        <v>131</v>
      </c>
      <c r="AT223" s="131" t="s">
        <v>129</v>
      </c>
      <c r="AU223" s="131" t="s">
        <v>82</v>
      </c>
      <c r="AY223" s="90" t="s">
        <v>127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90" t="s">
        <v>80</v>
      </c>
      <c r="BK223" s="187">
        <f>ROUND(I223*H223,2)</f>
        <v>0</v>
      </c>
      <c r="BL223" s="90" t="s">
        <v>131</v>
      </c>
      <c r="BM223" s="131" t="s">
        <v>782</v>
      </c>
    </row>
    <row r="224" spans="2:65" s="189" customFormat="1" x14ac:dyDescent="0.2">
      <c r="B224" s="188"/>
      <c r="D224" s="190" t="s">
        <v>132</v>
      </c>
      <c r="E224" s="191" t="s">
        <v>1</v>
      </c>
      <c r="F224" s="192" t="s">
        <v>1044</v>
      </c>
      <c r="H224" s="193">
        <f>(9*0.04+9*0.05)*2.4</f>
        <v>1.944</v>
      </c>
      <c r="I224" s="82"/>
      <c r="L224" s="188"/>
      <c r="M224" s="194"/>
      <c r="T224" s="195"/>
      <c r="AT224" s="191" t="s">
        <v>132</v>
      </c>
      <c r="AU224" s="191" t="s">
        <v>82</v>
      </c>
      <c r="AV224" s="189" t="s">
        <v>82</v>
      </c>
      <c r="AW224" s="189" t="s">
        <v>30</v>
      </c>
      <c r="AX224" s="189" t="s">
        <v>72</v>
      </c>
      <c r="AY224" s="191" t="s">
        <v>127</v>
      </c>
    </row>
    <row r="225" spans="2:65" s="99" customFormat="1" ht="44.25" customHeight="1" x14ac:dyDescent="0.2">
      <c r="B225" s="98"/>
      <c r="C225" s="176">
        <v>32</v>
      </c>
      <c r="D225" s="176" t="s">
        <v>129</v>
      </c>
      <c r="E225" s="177" t="s">
        <v>604</v>
      </c>
      <c r="F225" s="178" t="s">
        <v>605</v>
      </c>
      <c r="G225" s="179" t="s">
        <v>233</v>
      </c>
      <c r="H225" s="180">
        <f>H226</f>
        <v>1.944</v>
      </c>
      <c r="I225" s="80"/>
      <c r="J225" s="181">
        <f>ROUND(I225*H225,2)</f>
        <v>0</v>
      </c>
      <c r="K225" s="182"/>
      <c r="L225" s="98"/>
      <c r="M225" s="183" t="s">
        <v>1</v>
      </c>
      <c r="N225" s="184" t="s">
        <v>38</v>
      </c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AR225" s="131" t="s">
        <v>131</v>
      </c>
      <c r="AT225" s="131" t="s">
        <v>129</v>
      </c>
      <c r="AU225" s="131" t="s">
        <v>82</v>
      </c>
      <c r="AY225" s="90" t="s">
        <v>127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90" t="s">
        <v>80</v>
      </c>
      <c r="BK225" s="187">
        <f>ROUND(I225*H225,2)</f>
        <v>0</v>
      </c>
      <c r="BL225" s="90" t="s">
        <v>131</v>
      </c>
      <c r="BM225" s="131" t="s">
        <v>783</v>
      </c>
    </row>
    <row r="226" spans="2:65" s="189" customFormat="1" x14ac:dyDescent="0.2">
      <c r="B226" s="188"/>
      <c r="D226" s="190" t="s">
        <v>132</v>
      </c>
      <c r="E226" s="191" t="s">
        <v>1</v>
      </c>
      <c r="F226" s="192" t="s">
        <v>1044</v>
      </c>
      <c r="H226" s="193">
        <f>(9*0.04+9*0.05)*2.4</f>
        <v>1.944</v>
      </c>
      <c r="I226" s="82"/>
      <c r="L226" s="188"/>
      <c r="M226" s="194"/>
      <c r="T226" s="195"/>
      <c r="AT226" s="191" t="s">
        <v>132</v>
      </c>
      <c r="AU226" s="191" t="s">
        <v>82</v>
      </c>
      <c r="AV226" s="189" t="s">
        <v>82</v>
      </c>
      <c r="AW226" s="189" t="s">
        <v>30</v>
      </c>
      <c r="AX226" s="189" t="s">
        <v>72</v>
      </c>
      <c r="AY226" s="191" t="s">
        <v>127</v>
      </c>
    </row>
    <row r="227" spans="2:65" s="164" customFormat="1" ht="22.9" customHeight="1" x14ac:dyDescent="0.2">
      <c r="B227" s="163"/>
      <c r="D227" s="165" t="s">
        <v>71</v>
      </c>
      <c r="E227" s="174" t="s">
        <v>607</v>
      </c>
      <c r="F227" s="174" t="s">
        <v>608</v>
      </c>
      <c r="I227" s="79"/>
      <c r="J227" s="175">
        <f>J228</f>
        <v>0</v>
      </c>
      <c r="L227" s="163"/>
      <c r="M227" s="169"/>
      <c r="P227" s="170">
        <f>SUM(P228:P228)</f>
        <v>0</v>
      </c>
      <c r="R227" s="170"/>
      <c r="T227" s="171">
        <f>SUM(T228:T228)</f>
        <v>0</v>
      </c>
      <c r="AR227" s="165" t="s">
        <v>80</v>
      </c>
      <c r="AT227" s="172" t="s">
        <v>71</v>
      </c>
      <c r="AU227" s="172" t="s">
        <v>80</v>
      </c>
      <c r="AY227" s="165" t="s">
        <v>127</v>
      </c>
      <c r="BK227" s="173">
        <f>SUM(BK228:BK228)</f>
        <v>0</v>
      </c>
    </row>
    <row r="228" spans="2:65" s="99" customFormat="1" ht="24.2" customHeight="1" x14ac:dyDescent="0.2">
      <c r="B228" s="98"/>
      <c r="C228" s="176">
        <v>33</v>
      </c>
      <c r="D228" s="176" t="s">
        <v>129</v>
      </c>
      <c r="E228" s="177" t="s">
        <v>720</v>
      </c>
      <c r="F228" s="178" t="s">
        <v>721</v>
      </c>
      <c r="G228" s="179" t="s">
        <v>233</v>
      </c>
      <c r="H228" s="180">
        <f>R130</f>
        <v>7.1524299999999999E-2</v>
      </c>
      <c r="I228" s="80"/>
      <c r="J228" s="181">
        <f>ROUND(I228*H228,2)</f>
        <v>0</v>
      </c>
      <c r="K228" s="182"/>
      <c r="L228" s="98"/>
      <c r="M228" s="183" t="s">
        <v>1</v>
      </c>
      <c r="N228" s="184" t="s">
        <v>38</v>
      </c>
      <c r="P228" s="185">
        <f>O228*H228</f>
        <v>0</v>
      </c>
      <c r="Q228" s="185">
        <v>0</v>
      </c>
      <c r="R228" s="185"/>
      <c r="S228" s="185">
        <v>0</v>
      </c>
      <c r="T228" s="186">
        <f>S228*H228</f>
        <v>0</v>
      </c>
      <c r="AR228" s="131" t="s">
        <v>131</v>
      </c>
      <c r="AT228" s="131" t="s">
        <v>129</v>
      </c>
      <c r="AU228" s="131" t="s">
        <v>82</v>
      </c>
      <c r="AY228" s="90" t="s">
        <v>127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90" t="s">
        <v>80</v>
      </c>
      <c r="BK228" s="187">
        <f>ROUND(I228*H228,2)</f>
        <v>0</v>
      </c>
      <c r="BL228" s="90" t="s">
        <v>131</v>
      </c>
      <c r="BM228" s="131" t="s">
        <v>784</v>
      </c>
    </row>
    <row r="229" spans="2:65" s="164" customFormat="1" ht="25.9" customHeight="1" x14ac:dyDescent="0.2">
      <c r="B229" s="163"/>
      <c r="D229" s="165" t="s">
        <v>71</v>
      </c>
      <c r="E229" s="166" t="s">
        <v>241</v>
      </c>
      <c r="F229" s="166" t="s">
        <v>723</v>
      </c>
      <c r="I229" s="79"/>
      <c r="J229" s="167">
        <f>J230</f>
        <v>0</v>
      </c>
      <c r="L229" s="163"/>
      <c r="M229" s="169"/>
      <c r="P229" s="170">
        <f>P230</f>
        <v>0</v>
      </c>
      <c r="R229" s="170">
        <f>R230</f>
        <v>3.3151899999999998E-2</v>
      </c>
      <c r="T229" s="171">
        <f>T230</f>
        <v>0</v>
      </c>
      <c r="AR229" s="165" t="s">
        <v>134</v>
      </c>
      <c r="AT229" s="172" t="s">
        <v>71</v>
      </c>
      <c r="AU229" s="172" t="s">
        <v>72</v>
      </c>
      <c r="AY229" s="165" t="s">
        <v>127</v>
      </c>
      <c r="BK229" s="173">
        <f>BK230</f>
        <v>0</v>
      </c>
    </row>
    <row r="230" spans="2:65" s="164" customFormat="1" ht="22.9" customHeight="1" x14ac:dyDescent="0.2">
      <c r="B230" s="163"/>
      <c r="D230" s="165" t="s">
        <v>71</v>
      </c>
      <c r="E230" s="174" t="s">
        <v>724</v>
      </c>
      <c r="F230" s="174" t="s">
        <v>725</v>
      </c>
      <c r="I230" s="79"/>
      <c r="J230" s="175">
        <f>SUM(J231:J255)</f>
        <v>0</v>
      </c>
      <c r="L230" s="163"/>
      <c r="M230" s="169"/>
      <c r="P230" s="170">
        <f>SUM(P231:P250)</f>
        <v>0</v>
      </c>
      <c r="R230" s="170">
        <f>SUM(R231:R250)</f>
        <v>3.3151899999999998E-2</v>
      </c>
      <c r="T230" s="171">
        <f>SUM(T231:T250)</f>
        <v>0</v>
      </c>
      <c r="AR230" s="165" t="s">
        <v>134</v>
      </c>
      <c r="AT230" s="172" t="s">
        <v>71</v>
      </c>
      <c r="AU230" s="172" t="s">
        <v>80</v>
      </c>
      <c r="AY230" s="165" t="s">
        <v>127</v>
      </c>
      <c r="BK230" s="173">
        <f>SUM(BK231:BK250)</f>
        <v>0</v>
      </c>
    </row>
    <row r="231" spans="2:65" s="99" customFormat="1" ht="16.5" customHeight="1" x14ac:dyDescent="0.2">
      <c r="B231" s="98"/>
      <c r="C231" s="176">
        <v>34</v>
      </c>
      <c r="D231" s="176" t="s">
        <v>129</v>
      </c>
      <c r="E231" s="177" t="s">
        <v>785</v>
      </c>
      <c r="F231" s="178" t="s">
        <v>786</v>
      </c>
      <c r="G231" s="179" t="s">
        <v>160</v>
      </c>
      <c r="H231" s="180">
        <v>48</v>
      </c>
      <c r="I231" s="80"/>
      <c r="J231" s="181">
        <f>ROUND(I231*H231,2)</f>
        <v>0</v>
      </c>
      <c r="K231" s="182"/>
      <c r="L231" s="98"/>
      <c r="M231" s="183" t="s">
        <v>1</v>
      </c>
      <c r="N231" s="184" t="s">
        <v>38</v>
      </c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AR231" s="131" t="s">
        <v>338</v>
      </c>
      <c r="AT231" s="131" t="s">
        <v>129</v>
      </c>
      <c r="AU231" s="131" t="s">
        <v>82</v>
      </c>
      <c r="AY231" s="90" t="s">
        <v>127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90" t="s">
        <v>80</v>
      </c>
      <c r="BK231" s="187">
        <f>ROUND(I231*H231,2)</f>
        <v>0</v>
      </c>
      <c r="BL231" s="90" t="s">
        <v>338</v>
      </c>
      <c r="BM231" s="131" t="s">
        <v>787</v>
      </c>
    </row>
    <row r="232" spans="2:65" s="207" customFormat="1" x14ac:dyDescent="0.2">
      <c r="B232" s="206"/>
      <c r="D232" s="190" t="s">
        <v>132</v>
      </c>
      <c r="E232" s="208" t="s">
        <v>1</v>
      </c>
      <c r="F232" s="209" t="s">
        <v>143</v>
      </c>
      <c r="H232" s="208" t="s">
        <v>1</v>
      </c>
      <c r="I232" s="84"/>
      <c r="L232" s="206"/>
      <c r="M232" s="211"/>
      <c r="T232" s="212"/>
      <c r="AT232" s="208" t="s">
        <v>132</v>
      </c>
      <c r="AU232" s="208" t="s">
        <v>82</v>
      </c>
      <c r="AV232" s="207" t="s">
        <v>80</v>
      </c>
      <c r="AW232" s="207" t="s">
        <v>30</v>
      </c>
      <c r="AX232" s="207" t="s">
        <v>72</v>
      </c>
      <c r="AY232" s="208" t="s">
        <v>127</v>
      </c>
    </row>
    <row r="233" spans="2:65" s="189" customFormat="1" x14ac:dyDescent="0.2">
      <c r="B233" s="188"/>
      <c r="D233" s="190" t="s">
        <v>132</v>
      </c>
      <c r="E233" s="191" t="s">
        <v>1</v>
      </c>
      <c r="F233" s="192" t="s">
        <v>788</v>
      </c>
      <c r="H233" s="193">
        <v>48</v>
      </c>
      <c r="I233" s="82"/>
      <c r="L233" s="188"/>
      <c r="M233" s="194"/>
      <c r="T233" s="195"/>
      <c r="AT233" s="191" t="s">
        <v>132</v>
      </c>
      <c r="AU233" s="191" t="s">
        <v>82</v>
      </c>
      <c r="AV233" s="189" t="s">
        <v>82</v>
      </c>
      <c r="AW233" s="189" t="s">
        <v>30</v>
      </c>
      <c r="AX233" s="189" t="s">
        <v>72</v>
      </c>
      <c r="AY233" s="191" t="s">
        <v>127</v>
      </c>
    </row>
    <row r="234" spans="2:65" s="198" customFormat="1" x14ac:dyDescent="0.2">
      <c r="B234" s="197"/>
      <c r="D234" s="190" t="s">
        <v>132</v>
      </c>
      <c r="E234" s="199" t="s">
        <v>1</v>
      </c>
      <c r="F234" s="200" t="s">
        <v>133</v>
      </c>
      <c r="H234" s="201">
        <v>48</v>
      </c>
      <c r="I234" s="83"/>
      <c r="L234" s="197"/>
      <c r="M234" s="203"/>
      <c r="T234" s="204"/>
      <c r="AT234" s="199" t="s">
        <v>132</v>
      </c>
      <c r="AU234" s="199" t="s">
        <v>82</v>
      </c>
      <c r="AV234" s="198" t="s">
        <v>131</v>
      </c>
      <c r="AW234" s="198" t="s">
        <v>30</v>
      </c>
      <c r="AX234" s="198" t="s">
        <v>80</v>
      </c>
      <c r="AY234" s="199" t="s">
        <v>127</v>
      </c>
    </row>
    <row r="235" spans="2:65" s="99" customFormat="1" ht="21.75" customHeight="1" x14ac:dyDescent="0.2">
      <c r="B235" s="98"/>
      <c r="C235" s="176">
        <v>35</v>
      </c>
      <c r="D235" s="176" t="s">
        <v>129</v>
      </c>
      <c r="E235" s="177" t="s">
        <v>789</v>
      </c>
      <c r="F235" s="178" t="s">
        <v>790</v>
      </c>
      <c r="G235" s="179" t="s">
        <v>160</v>
      </c>
      <c r="H235" s="180">
        <v>3.9</v>
      </c>
      <c r="I235" s="80"/>
      <c r="J235" s="181">
        <f>ROUND(I235*H235,2)</f>
        <v>0</v>
      </c>
      <c r="K235" s="182"/>
      <c r="L235" s="98"/>
      <c r="M235" s="183" t="s">
        <v>1</v>
      </c>
      <c r="N235" s="184" t="s">
        <v>38</v>
      </c>
      <c r="P235" s="185">
        <f>O235*H235</f>
        <v>0</v>
      </c>
      <c r="Q235" s="185">
        <v>3.0000000000000001E-5</v>
      </c>
      <c r="R235" s="185">
        <f>Q235*H235</f>
        <v>1.17E-4</v>
      </c>
      <c r="S235" s="185">
        <v>0</v>
      </c>
      <c r="T235" s="186">
        <f>S235*H235</f>
        <v>0</v>
      </c>
      <c r="AR235" s="131" t="s">
        <v>338</v>
      </c>
      <c r="AT235" s="131" t="s">
        <v>129</v>
      </c>
      <c r="AU235" s="131" t="s">
        <v>82</v>
      </c>
      <c r="AY235" s="90" t="s">
        <v>127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90" t="s">
        <v>80</v>
      </c>
      <c r="BK235" s="187">
        <f>ROUND(I235*H235,2)</f>
        <v>0</v>
      </c>
      <c r="BL235" s="90" t="s">
        <v>338</v>
      </c>
      <c r="BM235" s="131" t="s">
        <v>791</v>
      </c>
    </row>
    <row r="236" spans="2:65" s="207" customFormat="1" x14ac:dyDescent="0.2">
      <c r="B236" s="206"/>
      <c r="D236" s="190" t="s">
        <v>132</v>
      </c>
      <c r="E236" s="208" t="s">
        <v>1</v>
      </c>
      <c r="F236" s="209" t="s">
        <v>143</v>
      </c>
      <c r="H236" s="208" t="s">
        <v>1</v>
      </c>
      <c r="I236" s="84"/>
      <c r="L236" s="206"/>
      <c r="M236" s="211"/>
      <c r="T236" s="212"/>
      <c r="AT236" s="208" t="s">
        <v>132</v>
      </c>
      <c r="AU236" s="208" t="s">
        <v>82</v>
      </c>
      <c r="AV236" s="207" t="s">
        <v>80</v>
      </c>
      <c r="AW236" s="207" t="s">
        <v>30</v>
      </c>
      <c r="AX236" s="207" t="s">
        <v>72</v>
      </c>
      <c r="AY236" s="208" t="s">
        <v>127</v>
      </c>
    </row>
    <row r="237" spans="2:65" s="189" customFormat="1" x14ac:dyDescent="0.2">
      <c r="B237" s="188"/>
      <c r="D237" s="190" t="s">
        <v>132</v>
      </c>
      <c r="E237" s="191" t="s">
        <v>1</v>
      </c>
      <c r="F237" s="192" t="s">
        <v>792</v>
      </c>
      <c r="H237" s="193">
        <v>3.9</v>
      </c>
      <c r="I237" s="82"/>
      <c r="L237" s="188"/>
      <c r="M237" s="194"/>
      <c r="T237" s="195"/>
      <c r="AT237" s="191" t="s">
        <v>132</v>
      </c>
      <c r="AU237" s="191" t="s">
        <v>82</v>
      </c>
      <c r="AV237" s="189" t="s">
        <v>82</v>
      </c>
      <c r="AW237" s="189" t="s">
        <v>30</v>
      </c>
      <c r="AX237" s="189" t="s">
        <v>72</v>
      </c>
      <c r="AY237" s="191" t="s">
        <v>127</v>
      </c>
    </row>
    <row r="238" spans="2:65" s="198" customFormat="1" x14ac:dyDescent="0.2">
      <c r="B238" s="197"/>
      <c r="D238" s="190" t="s">
        <v>132</v>
      </c>
      <c r="E238" s="199" t="s">
        <v>1</v>
      </c>
      <c r="F238" s="200" t="s">
        <v>133</v>
      </c>
      <c r="H238" s="201">
        <v>3.9</v>
      </c>
      <c r="I238" s="83"/>
      <c r="L238" s="197"/>
      <c r="M238" s="203"/>
      <c r="T238" s="204"/>
      <c r="AT238" s="199" t="s">
        <v>132</v>
      </c>
      <c r="AU238" s="199" t="s">
        <v>82</v>
      </c>
      <c r="AV238" s="198" t="s">
        <v>131</v>
      </c>
      <c r="AW238" s="198" t="s">
        <v>30</v>
      </c>
      <c r="AX238" s="198" t="s">
        <v>80</v>
      </c>
      <c r="AY238" s="199" t="s">
        <v>127</v>
      </c>
    </row>
    <row r="239" spans="2:65" s="99" customFormat="1" ht="24.2" customHeight="1" x14ac:dyDescent="0.2">
      <c r="B239" s="98"/>
      <c r="C239" s="214">
        <v>36</v>
      </c>
      <c r="D239" s="214" t="s">
        <v>241</v>
      </c>
      <c r="E239" s="215" t="s">
        <v>793</v>
      </c>
      <c r="F239" s="216" t="s">
        <v>794</v>
      </c>
      <c r="G239" s="217" t="s">
        <v>160</v>
      </c>
      <c r="H239" s="218">
        <v>3.9</v>
      </c>
      <c r="I239" s="85"/>
      <c r="J239" s="219">
        <f>ROUND(I239*H239,2)</f>
        <v>0</v>
      </c>
      <c r="K239" s="220"/>
      <c r="L239" s="251"/>
      <c r="M239" s="221" t="s">
        <v>1</v>
      </c>
      <c r="N239" s="222" t="s">
        <v>38</v>
      </c>
      <c r="P239" s="185">
        <f>O239*H239</f>
        <v>0</v>
      </c>
      <c r="Q239" s="185">
        <v>4.8999999999999998E-4</v>
      </c>
      <c r="R239" s="185">
        <f>Q239*H239</f>
        <v>1.9109999999999999E-3</v>
      </c>
      <c r="S239" s="185">
        <v>0</v>
      </c>
      <c r="T239" s="186">
        <f>S239*H239</f>
        <v>0</v>
      </c>
      <c r="AR239" s="131" t="s">
        <v>526</v>
      </c>
      <c r="AT239" s="131" t="s">
        <v>241</v>
      </c>
      <c r="AU239" s="131" t="s">
        <v>82</v>
      </c>
      <c r="AY239" s="90" t="s">
        <v>127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90" t="s">
        <v>80</v>
      </c>
      <c r="BK239" s="187">
        <f>ROUND(I239*H239,2)</f>
        <v>0</v>
      </c>
      <c r="BL239" s="90" t="s">
        <v>526</v>
      </c>
      <c r="BM239" s="131" t="s">
        <v>795</v>
      </c>
    </row>
    <row r="240" spans="2:65" s="99" customFormat="1" ht="24.2" customHeight="1" x14ac:dyDescent="0.2">
      <c r="B240" s="98"/>
      <c r="C240" s="176">
        <v>37</v>
      </c>
      <c r="D240" s="176" t="s">
        <v>129</v>
      </c>
      <c r="E240" s="177" t="s">
        <v>796</v>
      </c>
      <c r="F240" s="178" t="s">
        <v>797</v>
      </c>
      <c r="G240" s="179" t="s">
        <v>160</v>
      </c>
      <c r="H240" s="180">
        <v>44.17</v>
      </c>
      <c r="I240" s="80"/>
      <c r="J240" s="181">
        <f>ROUND(I240*H240,2)</f>
        <v>0</v>
      </c>
      <c r="K240" s="182"/>
      <c r="L240" s="98"/>
      <c r="M240" s="183" t="s">
        <v>1</v>
      </c>
      <c r="N240" s="184" t="s">
        <v>38</v>
      </c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AR240" s="131" t="s">
        <v>338</v>
      </c>
      <c r="AT240" s="131" t="s">
        <v>129</v>
      </c>
      <c r="AU240" s="131" t="s">
        <v>82</v>
      </c>
      <c r="AY240" s="90" t="s">
        <v>127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90" t="s">
        <v>80</v>
      </c>
      <c r="BK240" s="187">
        <f>ROUND(I240*H240,2)</f>
        <v>0</v>
      </c>
      <c r="BL240" s="90" t="s">
        <v>338</v>
      </c>
      <c r="BM240" s="131" t="s">
        <v>798</v>
      </c>
    </row>
    <row r="241" spans="2:65" s="189" customFormat="1" x14ac:dyDescent="0.2">
      <c r="B241" s="188"/>
      <c r="D241" s="190" t="s">
        <v>132</v>
      </c>
      <c r="E241" s="191" t="s">
        <v>1</v>
      </c>
      <c r="F241" s="192" t="s">
        <v>799</v>
      </c>
      <c r="H241" s="193">
        <v>44.17</v>
      </c>
      <c r="I241" s="82"/>
      <c r="L241" s="188"/>
      <c r="M241" s="194"/>
      <c r="T241" s="195"/>
      <c r="AT241" s="191" t="s">
        <v>132</v>
      </c>
      <c r="AU241" s="191" t="s">
        <v>82</v>
      </c>
      <c r="AV241" s="189" t="s">
        <v>82</v>
      </c>
      <c r="AW241" s="189" t="s">
        <v>30</v>
      </c>
      <c r="AX241" s="189" t="s">
        <v>72</v>
      </c>
      <c r="AY241" s="191" t="s">
        <v>127</v>
      </c>
    </row>
    <row r="242" spans="2:65" s="198" customFormat="1" x14ac:dyDescent="0.2">
      <c r="B242" s="197"/>
      <c r="D242" s="190" t="s">
        <v>132</v>
      </c>
      <c r="E242" s="199" t="s">
        <v>1</v>
      </c>
      <c r="F242" s="200" t="s">
        <v>133</v>
      </c>
      <c r="H242" s="201">
        <v>44.17</v>
      </c>
      <c r="I242" s="83"/>
      <c r="L242" s="197"/>
      <c r="M242" s="203"/>
      <c r="T242" s="204"/>
      <c r="AT242" s="199" t="s">
        <v>132</v>
      </c>
      <c r="AU242" s="199" t="s">
        <v>82</v>
      </c>
      <c r="AV242" s="198" t="s">
        <v>131</v>
      </c>
      <c r="AW242" s="198" t="s">
        <v>30</v>
      </c>
      <c r="AX242" s="198" t="s">
        <v>80</v>
      </c>
      <c r="AY242" s="199" t="s">
        <v>127</v>
      </c>
    </row>
    <row r="243" spans="2:65" s="99" customFormat="1" ht="21.75" customHeight="1" x14ac:dyDescent="0.2">
      <c r="B243" s="98"/>
      <c r="C243" s="214">
        <v>38</v>
      </c>
      <c r="D243" s="214" t="s">
        <v>241</v>
      </c>
      <c r="E243" s="215" t="s">
        <v>800</v>
      </c>
      <c r="F243" s="216" t="s">
        <v>801</v>
      </c>
      <c r="G243" s="217" t="s">
        <v>160</v>
      </c>
      <c r="H243" s="218">
        <v>44.17</v>
      </c>
      <c r="I243" s="85"/>
      <c r="J243" s="219">
        <f t="shared" ref="J243:J248" si="10">ROUND(I243*H243,2)</f>
        <v>0</v>
      </c>
      <c r="K243" s="220"/>
      <c r="L243" s="251"/>
      <c r="M243" s="221" t="s">
        <v>1</v>
      </c>
      <c r="N243" s="222" t="s">
        <v>38</v>
      </c>
      <c r="P243" s="185">
        <f t="shared" ref="P243:P248" si="11">O243*H243</f>
        <v>0</v>
      </c>
      <c r="Q243" s="185">
        <v>6.7000000000000002E-4</v>
      </c>
      <c r="R243" s="185">
        <f t="shared" ref="R243:R248" si="12">Q243*H243</f>
        <v>2.9593900000000003E-2</v>
      </c>
      <c r="S243" s="185">
        <v>0</v>
      </c>
      <c r="T243" s="186">
        <f t="shared" ref="T243:T248" si="13">S243*H243</f>
        <v>0</v>
      </c>
      <c r="AR243" s="131" t="s">
        <v>526</v>
      </c>
      <c r="AT243" s="131" t="s">
        <v>241</v>
      </c>
      <c r="AU243" s="131" t="s">
        <v>82</v>
      </c>
      <c r="AY243" s="90" t="s">
        <v>127</v>
      </c>
      <c r="BE243" s="187">
        <f t="shared" ref="BE243:BE248" si="14">IF(N243="základní",J243,0)</f>
        <v>0</v>
      </c>
      <c r="BF243" s="187">
        <f t="shared" ref="BF243:BF248" si="15">IF(N243="snížená",J243,0)</f>
        <v>0</v>
      </c>
      <c r="BG243" s="187">
        <f t="shared" ref="BG243:BG248" si="16">IF(N243="zákl. přenesená",J243,0)</f>
        <v>0</v>
      </c>
      <c r="BH243" s="187">
        <f t="shared" ref="BH243:BH248" si="17">IF(N243="sníž. přenesená",J243,0)</f>
        <v>0</v>
      </c>
      <c r="BI243" s="187">
        <f t="shared" ref="BI243:BI248" si="18">IF(N243="nulová",J243,0)</f>
        <v>0</v>
      </c>
      <c r="BJ243" s="90" t="s">
        <v>80</v>
      </c>
      <c r="BK243" s="187">
        <f t="shared" ref="BK243:BK248" si="19">ROUND(I243*H243,2)</f>
        <v>0</v>
      </c>
      <c r="BL243" s="90" t="s">
        <v>526</v>
      </c>
      <c r="BM243" s="131" t="s">
        <v>802</v>
      </c>
    </row>
    <row r="244" spans="2:65" s="99" customFormat="1" ht="24.2" customHeight="1" x14ac:dyDescent="0.2">
      <c r="B244" s="98"/>
      <c r="C244" s="176">
        <v>39</v>
      </c>
      <c r="D244" s="176" t="s">
        <v>129</v>
      </c>
      <c r="E244" s="177" t="s">
        <v>803</v>
      </c>
      <c r="F244" s="178" t="s">
        <v>804</v>
      </c>
      <c r="G244" s="179" t="s">
        <v>196</v>
      </c>
      <c r="H244" s="180">
        <v>8</v>
      </c>
      <c r="I244" s="80"/>
      <c r="J244" s="181">
        <f t="shared" si="10"/>
        <v>0</v>
      </c>
      <c r="K244" s="182"/>
      <c r="L244" s="98"/>
      <c r="M244" s="183" t="s">
        <v>1</v>
      </c>
      <c r="N244" s="184" t="s">
        <v>38</v>
      </c>
      <c r="P244" s="185">
        <f t="shared" si="11"/>
        <v>0</v>
      </c>
      <c r="Q244" s="185">
        <v>0</v>
      </c>
      <c r="R244" s="185">
        <f t="shared" si="12"/>
        <v>0</v>
      </c>
      <c r="S244" s="185">
        <v>0</v>
      </c>
      <c r="T244" s="186">
        <f t="shared" si="13"/>
        <v>0</v>
      </c>
      <c r="AR244" s="131" t="s">
        <v>338</v>
      </c>
      <c r="AT244" s="131" t="s">
        <v>129</v>
      </c>
      <c r="AU244" s="131" t="s">
        <v>82</v>
      </c>
      <c r="AY244" s="90" t="s">
        <v>127</v>
      </c>
      <c r="BE244" s="187">
        <f t="shared" si="14"/>
        <v>0</v>
      </c>
      <c r="BF244" s="187">
        <f t="shared" si="15"/>
        <v>0</v>
      </c>
      <c r="BG244" s="187">
        <f t="shared" si="16"/>
        <v>0</v>
      </c>
      <c r="BH244" s="187">
        <f t="shared" si="17"/>
        <v>0</v>
      </c>
      <c r="BI244" s="187">
        <f t="shared" si="18"/>
        <v>0</v>
      </c>
      <c r="BJ244" s="90" t="s">
        <v>80</v>
      </c>
      <c r="BK244" s="187">
        <f t="shared" si="19"/>
        <v>0</v>
      </c>
      <c r="BL244" s="90" t="s">
        <v>338</v>
      </c>
      <c r="BM244" s="131" t="s">
        <v>805</v>
      </c>
    </row>
    <row r="245" spans="2:65" s="99" customFormat="1" ht="24.2" customHeight="1" x14ac:dyDescent="0.2">
      <c r="B245" s="98"/>
      <c r="C245" s="214">
        <v>40</v>
      </c>
      <c r="D245" s="214" t="s">
        <v>241</v>
      </c>
      <c r="E245" s="215" t="s">
        <v>806</v>
      </c>
      <c r="F245" s="216" t="s">
        <v>807</v>
      </c>
      <c r="G245" s="217" t="s">
        <v>196</v>
      </c>
      <c r="H245" s="218">
        <v>3</v>
      </c>
      <c r="I245" s="85"/>
      <c r="J245" s="219">
        <f t="shared" si="10"/>
        <v>0</v>
      </c>
      <c r="K245" s="220"/>
      <c r="L245" s="251"/>
      <c r="M245" s="221" t="s">
        <v>1</v>
      </c>
      <c r="N245" s="222" t="s">
        <v>38</v>
      </c>
      <c r="P245" s="185">
        <f t="shared" si="11"/>
        <v>0</v>
      </c>
      <c r="Q245" s="185">
        <v>3.1E-4</v>
      </c>
      <c r="R245" s="185">
        <f t="shared" si="12"/>
        <v>9.3000000000000005E-4</v>
      </c>
      <c r="S245" s="185">
        <v>0</v>
      </c>
      <c r="T245" s="186">
        <f t="shared" si="13"/>
        <v>0</v>
      </c>
      <c r="AR245" s="131" t="s">
        <v>526</v>
      </c>
      <c r="AT245" s="131" t="s">
        <v>241</v>
      </c>
      <c r="AU245" s="131" t="s">
        <v>82</v>
      </c>
      <c r="AY245" s="90" t="s">
        <v>127</v>
      </c>
      <c r="BE245" s="187">
        <f t="shared" si="14"/>
        <v>0</v>
      </c>
      <c r="BF245" s="187">
        <f t="shared" si="15"/>
        <v>0</v>
      </c>
      <c r="BG245" s="187">
        <f t="shared" si="16"/>
        <v>0</v>
      </c>
      <c r="BH245" s="187">
        <f t="shared" si="17"/>
        <v>0</v>
      </c>
      <c r="BI245" s="187">
        <f t="shared" si="18"/>
        <v>0</v>
      </c>
      <c r="BJ245" s="90" t="s">
        <v>80</v>
      </c>
      <c r="BK245" s="187">
        <f t="shared" si="19"/>
        <v>0</v>
      </c>
      <c r="BL245" s="90" t="s">
        <v>526</v>
      </c>
      <c r="BM245" s="131" t="s">
        <v>808</v>
      </c>
    </row>
    <row r="246" spans="2:65" s="99" customFormat="1" ht="16.5" customHeight="1" x14ac:dyDescent="0.2">
      <c r="B246" s="98"/>
      <c r="C246" s="214">
        <v>41</v>
      </c>
      <c r="D246" s="214" t="s">
        <v>241</v>
      </c>
      <c r="E246" s="215" t="s">
        <v>809</v>
      </c>
      <c r="F246" s="216" t="s">
        <v>810</v>
      </c>
      <c r="G246" s="217" t="s">
        <v>196</v>
      </c>
      <c r="H246" s="218">
        <v>3</v>
      </c>
      <c r="I246" s="85"/>
      <c r="J246" s="219">
        <f t="shared" si="10"/>
        <v>0</v>
      </c>
      <c r="K246" s="220"/>
      <c r="L246" s="251"/>
      <c r="M246" s="221" t="s">
        <v>1</v>
      </c>
      <c r="N246" s="222" t="s">
        <v>38</v>
      </c>
      <c r="P246" s="185">
        <f t="shared" si="11"/>
        <v>0</v>
      </c>
      <c r="Q246" s="185">
        <v>1.2E-4</v>
      </c>
      <c r="R246" s="185">
        <f t="shared" si="12"/>
        <v>3.6000000000000002E-4</v>
      </c>
      <c r="S246" s="185">
        <v>0</v>
      </c>
      <c r="T246" s="186">
        <f t="shared" si="13"/>
        <v>0</v>
      </c>
      <c r="AR246" s="131" t="s">
        <v>526</v>
      </c>
      <c r="AT246" s="131" t="s">
        <v>241</v>
      </c>
      <c r="AU246" s="131" t="s">
        <v>82</v>
      </c>
      <c r="AY246" s="90" t="s">
        <v>127</v>
      </c>
      <c r="BE246" s="187">
        <f t="shared" si="14"/>
        <v>0</v>
      </c>
      <c r="BF246" s="187">
        <f t="shared" si="15"/>
        <v>0</v>
      </c>
      <c r="BG246" s="187">
        <f t="shared" si="16"/>
        <v>0</v>
      </c>
      <c r="BH246" s="187">
        <f t="shared" si="17"/>
        <v>0</v>
      </c>
      <c r="BI246" s="187">
        <f t="shared" si="18"/>
        <v>0</v>
      </c>
      <c r="BJ246" s="90" t="s">
        <v>80</v>
      </c>
      <c r="BK246" s="187">
        <f t="shared" si="19"/>
        <v>0</v>
      </c>
      <c r="BL246" s="90" t="s">
        <v>526</v>
      </c>
      <c r="BM246" s="131" t="s">
        <v>811</v>
      </c>
    </row>
    <row r="247" spans="2:65" s="99" customFormat="1" ht="16.5" customHeight="1" x14ac:dyDescent="0.2">
      <c r="B247" s="98"/>
      <c r="C247" s="214">
        <v>42</v>
      </c>
      <c r="D247" s="214" t="s">
        <v>241</v>
      </c>
      <c r="E247" s="215"/>
      <c r="F247" s="216" t="s">
        <v>1050</v>
      </c>
      <c r="G247" s="217" t="s">
        <v>196</v>
      </c>
      <c r="H247" s="218">
        <v>2</v>
      </c>
      <c r="I247" s="85"/>
      <c r="J247" s="219">
        <f t="shared" si="10"/>
        <v>0</v>
      </c>
      <c r="K247" s="220"/>
      <c r="L247" s="251"/>
      <c r="M247" s="221" t="s">
        <v>1</v>
      </c>
      <c r="N247" s="222" t="s">
        <v>38</v>
      </c>
      <c r="P247" s="185">
        <f t="shared" si="11"/>
        <v>0</v>
      </c>
      <c r="Q247" s="185">
        <v>1.2E-4</v>
      </c>
      <c r="R247" s="185">
        <f t="shared" si="12"/>
        <v>2.4000000000000001E-4</v>
      </c>
      <c r="S247" s="185">
        <v>0</v>
      </c>
      <c r="T247" s="186">
        <f t="shared" si="13"/>
        <v>0</v>
      </c>
      <c r="AR247" s="131" t="s">
        <v>526</v>
      </c>
      <c r="AT247" s="131" t="s">
        <v>241</v>
      </c>
      <c r="AU247" s="131" t="s">
        <v>82</v>
      </c>
      <c r="AY247" s="90" t="s">
        <v>127</v>
      </c>
      <c r="BE247" s="187">
        <f t="shared" si="14"/>
        <v>0</v>
      </c>
      <c r="BF247" s="187">
        <f t="shared" si="15"/>
        <v>0</v>
      </c>
      <c r="BG247" s="187">
        <f t="shared" si="16"/>
        <v>0</v>
      </c>
      <c r="BH247" s="187">
        <f t="shared" si="17"/>
        <v>0</v>
      </c>
      <c r="BI247" s="187">
        <f t="shared" si="18"/>
        <v>0</v>
      </c>
      <c r="BJ247" s="90" t="s">
        <v>80</v>
      </c>
      <c r="BK247" s="187">
        <f t="shared" si="19"/>
        <v>0</v>
      </c>
      <c r="BL247" s="90" t="s">
        <v>526</v>
      </c>
      <c r="BM247" s="131" t="s">
        <v>811</v>
      </c>
    </row>
    <row r="248" spans="2:65" s="99" customFormat="1" ht="33.75" customHeight="1" x14ac:dyDescent="0.2">
      <c r="B248" s="98"/>
      <c r="C248" s="176">
        <v>43</v>
      </c>
      <c r="D248" s="176" t="s">
        <v>129</v>
      </c>
      <c r="E248" s="177" t="s">
        <v>812</v>
      </c>
      <c r="F248" s="178" t="s">
        <v>1051</v>
      </c>
      <c r="G248" s="179" t="s">
        <v>160</v>
      </c>
      <c r="H248" s="180">
        <v>48.07</v>
      </c>
      <c r="I248" s="80"/>
      <c r="J248" s="181">
        <f t="shared" si="10"/>
        <v>0</v>
      </c>
      <c r="K248" s="182"/>
      <c r="L248" s="98"/>
      <c r="M248" s="183" t="s">
        <v>1</v>
      </c>
      <c r="N248" s="184" t="s">
        <v>38</v>
      </c>
      <c r="P248" s="185">
        <f t="shared" si="11"/>
        <v>0</v>
      </c>
      <c r="Q248" s="185">
        <v>0</v>
      </c>
      <c r="R248" s="185">
        <f t="shared" si="12"/>
        <v>0</v>
      </c>
      <c r="S248" s="185">
        <v>0</v>
      </c>
      <c r="T248" s="186">
        <f t="shared" si="13"/>
        <v>0</v>
      </c>
      <c r="AR248" s="131" t="s">
        <v>338</v>
      </c>
      <c r="AT248" s="131" t="s">
        <v>129</v>
      </c>
      <c r="AU248" s="131" t="s">
        <v>82</v>
      </c>
      <c r="AY248" s="90" t="s">
        <v>127</v>
      </c>
      <c r="BE248" s="187">
        <f t="shared" si="14"/>
        <v>0</v>
      </c>
      <c r="BF248" s="187">
        <f t="shared" si="15"/>
        <v>0</v>
      </c>
      <c r="BG248" s="187">
        <f t="shared" si="16"/>
        <v>0</v>
      </c>
      <c r="BH248" s="187">
        <f t="shared" si="17"/>
        <v>0</v>
      </c>
      <c r="BI248" s="187">
        <f t="shared" si="18"/>
        <v>0</v>
      </c>
      <c r="BJ248" s="90" t="s">
        <v>80</v>
      </c>
      <c r="BK248" s="187">
        <f t="shared" si="19"/>
        <v>0</v>
      </c>
      <c r="BL248" s="90" t="s">
        <v>338</v>
      </c>
      <c r="BM248" s="131" t="s">
        <v>813</v>
      </c>
    </row>
    <row r="249" spans="2:65" s="189" customFormat="1" x14ac:dyDescent="0.2">
      <c r="B249" s="188"/>
      <c r="D249" s="190" t="s">
        <v>132</v>
      </c>
      <c r="E249" s="191" t="s">
        <v>1</v>
      </c>
      <c r="F249" s="192" t="s">
        <v>780</v>
      </c>
      <c r="H249" s="193">
        <v>48.07</v>
      </c>
      <c r="L249" s="188"/>
      <c r="M249" s="194"/>
      <c r="T249" s="195"/>
      <c r="AT249" s="191" t="s">
        <v>132</v>
      </c>
      <c r="AU249" s="191" t="s">
        <v>82</v>
      </c>
      <c r="AV249" s="189" t="s">
        <v>82</v>
      </c>
      <c r="AW249" s="189" t="s">
        <v>30</v>
      </c>
      <c r="AX249" s="189" t="s">
        <v>72</v>
      </c>
      <c r="AY249" s="191" t="s">
        <v>127</v>
      </c>
    </row>
    <row r="250" spans="2:65" s="198" customFormat="1" x14ac:dyDescent="0.2">
      <c r="B250" s="197"/>
      <c r="D250" s="190" t="s">
        <v>132</v>
      </c>
      <c r="E250" s="199" t="s">
        <v>1</v>
      </c>
      <c r="F250" s="200" t="s">
        <v>133</v>
      </c>
      <c r="H250" s="201">
        <v>48.07</v>
      </c>
      <c r="L250" s="197"/>
      <c r="M250" s="257"/>
      <c r="N250" s="258"/>
      <c r="O250" s="258"/>
      <c r="P250" s="258"/>
      <c r="Q250" s="258"/>
      <c r="R250" s="258"/>
      <c r="S250" s="258"/>
      <c r="T250" s="259"/>
      <c r="AT250" s="199" t="s">
        <v>132</v>
      </c>
      <c r="AU250" s="199" t="s">
        <v>82</v>
      </c>
      <c r="AV250" s="198" t="s">
        <v>131</v>
      </c>
      <c r="AW250" s="198" t="s">
        <v>30</v>
      </c>
      <c r="AX250" s="198" t="s">
        <v>80</v>
      </c>
      <c r="AY250" s="199" t="s">
        <v>127</v>
      </c>
    </row>
    <row r="251" spans="2:65" s="101" customFormat="1" ht="33.75" customHeight="1" x14ac:dyDescent="0.2">
      <c r="B251" s="98"/>
      <c r="C251" s="176">
        <v>44</v>
      </c>
      <c r="D251" s="176" t="s">
        <v>129</v>
      </c>
      <c r="E251" s="177"/>
      <c r="F251" s="178" t="s">
        <v>1083</v>
      </c>
      <c r="G251" s="179" t="s">
        <v>160</v>
      </c>
      <c r="H251" s="180">
        <v>3</v>
      </c>
      <c r="I251" s="80"/>
      <c r="J251" s="181">
        <f t="shared" ref="J251" si="20">ROUND(I251*H251,2)</f>
        <v>0</v>
      </c>
      <c r="K251" s="182"/>
      <c r="L251" s="98"/>
      <c r="M251" s="183" t="s">
        <v>1</v>
      </c>
      <c r="N251" s="184" t="s">
        <v>38</v>
      </c>
      <c r="P251" s="185">
        <f t="shared" ref="P251" si="21">O251*H251</f>
        <v>0</v>
      </c>
      <c r="Q251" s="185">
        <v>0</v>
      </c>
      <c r="R251" s="185">
        <f t="shared" ref="R251" si="22">Q251*H251</f>
        <v>0</v>
      </c>
      <c r="S251" s="185">
        <v>0</v>
      </c>
      <c r="T251" s="186">
        <f t="shared" ref="T251" si="23">S251*H251</f>
        <v>0</v>
      </c>
      <c r="AR251" s="131" t="s">
        <v>338</v>
      </c>
      <c r="AT251" s="131" t="s">
        <v>129</v>
      </c>
      <c r="AU251" s="131" t="s">
        <v>82</v>
      </c>
      <c r="AY251" s="90" t="s">
        <v>127</v>
      </c>
      <c r="BE251" s="187">
        <f t="shared" ref="BE251" si="24">IF(N251="základní",J251,0)</f>
        <v>0</v>
      </c>
      <c r="BF251" s="187">
        <f t="shared" ref="BF251" si="25">IF(N251="snížená",J251,0)</f>
        <v>0</v>
      </c>
      <c r="BG251" s="187">
        <f t="shared" ref="BG251" si="26">IF(N251="zákl. přenesená",J251,0)</f>
        <v>0</v>
      </c>
      <c r="BH251" s="187">
        <f t="shared" ref="BH251" si="27">IF(N251="sníž. přenesená",J251,0)</f>
        <v>0</v>
      </c>
      <c r="BI251" s="187">
        <f t="shared" ref="BI251" si="28">IF(N251="nulová",J251,0)</f>
        <v>0</v>
      </c>
      <c r="BJ251" s="90" t="s">
        <v>80</v>
      </c>
      <c r="BK251" s="187">
        <f t="shared" ref="BK251" si="29">ROUND(I251*H251,2)</f>
        <v>0</v>
      </c>
      <c r="BL251" s="90" t="s">
        <v>338</v>
      </c>
      <c r="BM251" s="131" t="s">
        <v>813</v>
      </c>
    </row>
    <row r="252" spans="2:65" s="101" customFormat="1" ht="33.75" customHeight="1" x14ac:dyDescent="0.2">
      <c r="B252" s="98"/>
      <c r="C252" s="176">
        <v>45</v>
      </c>
      <c r="D252" s="176" t="s">
        <v>129</v>
      </c>
      <c r="E252" s="177"/>
      <c r="F252" s="178" t="s">
        <v>1084</v>
      </c>
      <c r="G252" s="179" t="s">
        <v>886</v>
      </c>
      <c r="H252" s="180">
        <v>2</v>
      </c>
      <c r="I252" s="80"/>
      <c r="J252" s="181">
        <f t="shared" ref="J252" si="30">ROUND(I252*H252,2)</f>
        <v>0</v>
      </c>
      <c r="K252" s="182"/>
      <c r="L252" s="98"/>
      <c r="M252" s="183" t="s">
        <v>1</v>
      </c>
      <c r="N252" s="184" t="s">
        <v>38</v>
      </c>
      <c r="P252" s="185">
        <f t="shared" ref="P252" si="31">O252*H252</f>
        <v>0</v>
      </c>
      <c r="Q252" s="185">
        <v>0</v>
      </c>
      <c r="R252" s="185">
        <f t="shared" ref="R252" si="32">Q252*H252</f>
        <v>0</v>
      </c>
      <c r="S252" s="185">
        <v>0</v>
      </c>
      <c r="T252" s="186">
        <f t="shared" ref="T252" si="33">S252*H252</f>
        <v>0</v>
      </c>
      <c r="AR252" s="131" t="s">
        <v>338</v>
      </c>
      <c r="AT252" s="131" t="s">
        <v>129</v>
      </c>
      <c r="AU252" s="131" t="s">
        <v>82</v>
      </c>
      <c r="AY252" s="90" t="s">
        <v>127</v>
      </c>
      <c r="BE252" s="187">
        <f t="shared" ref="BE252" si="34">IF(N252="základní",J252,0)</f>
        <v>0</v>
      </c>
      <c r="BF252" s="187">
        <f t="shared" ref="BF252" si="35">IF(N252="snížená",J252,0)</f>
        <v>0</v>
      </c>
      <c r="BG252" s="187">
        <f t="shared" ref="BG252" si="36">IF(N252="zákl. přenesená",J252,0)</f>
        <v>0</v>
      </c>
      <c r="BH252" s="187">
        <f t="shared" ref="BH252" si="37">IF(N252="sníž. přenesená",J252,0)</f>
        <v>0</v>
      </c>
      <c r="BI252" s="187">
        <f t="shared" ref="BI252" si="38">IF(N252="nulová",J252,0)</f>
        <v>0</v>
      </c>
      <c r="BJ252" s="90" t="s">
        <v>80</v>
      </c>
      <c r="BK252" s="187">
        <f t="shared" ref="BK252" si="39">ROUND(I252*H252,2)</f>
        <v>0</v>
      </c>
      <c r="BL252" s="90" t="s">
        <v>338</v>
      </c>
      <c r="BM252" s="131" t="s">
        <v>813</v>
      </c>
    </row>
    <row r="253" spans="2:65" s="101" customFormat="1" ht="41.25" customHeight="1" x14ac:dyDescent="0.2">
      <c r="B253" s="98"/>
      <c r="C253" s="176">
        <v>46</v>
      </c>
      <c r="D253" s="176" t="s">
        <v>129</v>
      </c>
      <c r="E253" s="177"/>
      <c r="F253" s="178" t="s">
        <v>1085</v>
      </c>
      <c r="G253" s="179" t="s">
        <v>886</v>
      </c>
      <c r="H253" s="180">
        <v>1</v>
      </c>
      <c r="I253" s="80"/>
      <c r="J253" s="181">
        <f t="shared" ref="J253" si="40">ROUND(I253*H253,2)</f>
        <v>0</v>
      </c>
      <c r="K253" s="182"/>
      <c r="L253" s="98"/>
      <c r="M253" s="183" t="s">
        <v>1</v>
      </c>
      <c r="N253" s="184" t="s">
        <v>38</v>
      </c>
      <c r="P253" s="185">
        <f t="shared" ref="P253" si="41">O253*H253</f>
        <v>0</v>
      </c>
      <c r="Q253" s="185">
        <v>0</v>
      </c>
      <c r="R253" s="185">
        <f t="shared" ref="R253" si="42">Q253*H253</f>
        <v>0</v>
      </c>
      <c r="S253" s="185">
        <v>0</v>
      </c>
      <c r="T253" s="186">
        <f t="shared" ref="T253" si="43">S253*H253</f>
        <v>0</v>
      </c>
      <c r="AR253" s="131" t="s">
        <v>338</v>
      </c>
      <c r="AT253" s="131" t="s">
        <v>129</v>
      </c>
      <c r="AU253" s="131" t="s">
        <v>82</v>
      </c>
      <c r="AY253" s="90" t="s">
        <v>127</v>
      </c>
      <c r="BE253" s="187">
        <f t="shared" ref="BE253" si="44">IF(N253="základní",J253,0)</f>
        <v>0</v>
      </c>
      <c r="BF253" s="187">
        <f t="shared" ref="BF253" si="45">IF(N253="snížená",J253,0)</f>
        <v>0</v>
      </c>
      <c r="BG253" s="187">
        <f t="shared" ref="BG253" si="46">IF(N253="zákl. přenesená",J253,0)</f>
        <v>0</v>
      </c>
      <c r="BH253" s="187">
        <f t="shared" ref="BH253" si="47">IF(N253="sníž. přenesená",J253,0)</f>
        <v>0</v>
      </c>
      <c r="BI253" s="187">
        <f t="shared" ref="BI253" si="48">IF(N253="nulová",J253,0)</f>
        <v>0</v>
      </c>
      <c r="BJ253" s="90" t="s">
        <v>80</v>
      </c>
      <c r="BK253" s="187">
        <f t="shared" ref="BK253" si="49">ROUND(I253*H253,2)</f>
        <v>0</v>
      </c>
      <c r="BL253" s="90" t="s">
        <v>338</v>
      </c>
      <c r="BM253" s="131" t="s">
        <v>813</v>
      </c>
    </row>
    <row r="254" spans="2:65" s="101" customFormat="1" ht="41.25" customHeight="1" x14ac:dyDescent="0.2">
      <c r="B254" s="98"/>
      <c r="C254" s="176">
        <v>47</v>
      </c>
      <c r="D254" s="176" t="s">
        <v>129</v>
      </c>
      <c r="E254" s="177"/>
      <c r="F254" s="178" t="s">
        <v>1086</v>
      </c>
      <c r="G254" s="179" t="s">
        <v>886</v>
      </c>
      <c r="H254" s="180">
        <v>3</v>
      </c>
      <c r="I254" s="80"/>
      <c r="J254" s="181">
        <f t="shared" ref="J254" si="50">ROUND(I254*H254,2)</f>
        <v>0</v>
      </c>
      <c r="K254" s="182"/>
      <c r="L254" s="98"/>
      <c r="M254" s="183" t="s">
        <v>1</v>
      </c>
      <c r="N254" s="184" t="s">
        <v>38</v>
      </c>
      <c r="P254" s="185">
        <f t="shared" ref="P254" si="51">O254*H254</f>
        <v>0</v>
      </c>
      <c r="Q254" s="185">
        <v>0</v>
      </c>
      <c r="R254" s="185">
        <f t="shared" ref="R254" si="52">Q254*H254</f>
        <v>0</v>
      </c>
      <c r="S254" s="185">
        <v>0</v>
      </c>
      <c r="T254" s="186">
        <f t="shared" ref="T254" si="53">S254*H254</f>
        <v>0</v>
      </c>
      <c r="AR254" s="131" t="s">
        <v>338</v>
      </c>
      <c r="AT254" s="131" t="s">
        <v>129</v>
      </c>
      <c r="AU254" s="131" t="s">
        <v>82</v>
      </c>
      <c r="AY254" s="90" t="s">
        <v>127</v>
      </c>
      <c r="BE254" s="187">
        <f t="shared" ref="BE254" si="54">IF(N254="základní",J254,0)</f>
        <v>0</v>
      </c>
      <c r="BF254" s="187">
        <f t="shared" ref="BF254" si="55">IF(N254="snížená",J254,0)</f>
        <v>0</v>
      </c>
      <c r="BG254" s="187">
        <f t="shared" ref="BG254" si="56">IF(N254="zákl. přenesená",J254,0)</f>
        <v>0</v>
      </c>
      <c r="BH254" s="187">
        <f t="shared" ref="BH254" si="57">IF(N254="sníž. přenesená",J254,0)</f>
        <v>0</v>
      </c>
      <c r="BI254" s="187">
        <f t="shared" ref="BI254" si="58">IF(N254="nulová",J254,0)</f>
        <v>0</v>
      </c>
      <c r="BJ254" s="90" t="s">
        <v>80</v>
      </c>
      <c r="BK254" s="187">
        <f t="shared" ref="BK254" si="59">ROUND(I254*H254,2)</f>
        <v>0</v>
      </c>
      <c r="BL254" s="90" t="s">
        <v>338</v>
      </c>
      <c r="BM254" s="131" t="s">
        <v>813</v>
      </c>
    </row>
    <row r="255" spans="2:65" s="99" customFormat="1" ht="6.95" customHeight="1" x14ac:dyDescent="0.2">
      <c r="B255" s="126"/>
      <c r="C255" s="127"/>
      <c r="D255" s="127"/>
      <c r="E255" s="127"/>
      <c r="F255" s="127"/>
      <c r="G255" s="127"/>
      <c r="H255" s="127"/>
      <c r="I255" s="127"/>
      <c r="J255" s="127"/>
      <c r="K255" s="127"/>
      <c r="L255" s="98"/>
    </row>
  </sheetData>
  <sheetProtection password="C9A1" sheet="1" objects="1" scenarios="1"/>
  <autoFilter ref="C129:K250" xr:uid="{00000000-0009-0000-0000-000004000000}"/>
  <mergeCells count="13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  <mergeCell ref="E109:I10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M136"/>
  <sheetViews>
    <sheetView showGridLines="0" topLeftCell="A79" workbookViewId="0">
      <selection activeCell="I120" sqref="I120"/>
    </sheetView>
  </sheetViews>
  <sheetFormatPr defaultRowHeight="11.25" x14ac:dyDescent="0.2"/>
  <cols>
    <col min="1" max="1" width="8.33203125" style="88" customWidth="1"/>
    <col min="2" max="2" width="1.1640625" style="88" customWidth="1"/>
    <col min="3" max="3" width="4.1640625" style="88" customWidth="1"/>
    <col min="4" max="4" width="4.33203125" style="88" customWidth="1"/>
    <col min="5" max="5" width="17.1640625" style="88" customWidth="1"/>
    <col min="6" max="6" width="50.83203125" style="88" customWidth="1"/>
    <col min="7" max="7" width="7.5" style="88" customWidth="1"/>
    <col min="8" max="8" width="14" style="88" customWidth="1"/>
    <col min="9" max="9" width="15.83203125" style="88" customWidth="1"/>
    <col min="10" max="10" width="22.33203125" style="88" customWidth="1"/>
    <col min="11" max="11" width="22.33203125" style="88" hidden="1" customWidth="1"/>
    <col min="12" max="12" width="9.33203125" style="88" customWidth="1"/>
    <col min="13" max="13" width="10.83203125" style="88" hidden="1" customWidth="1"/>
    <col min="14" max="14" width="9.33203125" style="88" hidden="1"/>
    <col min="15" max="20" width="14.1640625" style="88" hidden="1" customWidth="1"/>
    <col min="21" max="21" width="16.33203125" style="88" hidden="1" customWidth="1"/>
    <col min="22" max="22" width="12.33203125" style="88" customWidth="1"/>
    <col min="23" max="23" width="16.33203125" style="88" customWidth="1"/>
    <col min="24" max="24" width="12.33203125" style="88" customWidth="1"/>
    <col min="25" max="25" width="15" style="88" customWidth="1"/>
    <col min="26" max="26" width="11" style="88" customWidth="1"/>
    <col min="27" max="27" width="15" style="88" customWidth="1"/>
    <col min="28" max="28" width="16.33203125" style="88" customWidth="1"/>
    <col min="29" max="29" width="11" style="88" customWidth="1"/>
    <col min="30" max="30" width="15" style="88" customWidth="1"/>
    <col min="31" max="31" width="16.33203125" style="88" customWidth="1"/>
    <col min="32" max="43" width="9.33203125" style="88"/>
    <col min="44" max="65" width="9.33203125" style="88" hidden="1"/>
    <col min="66" max="16384" width="9.33203125" style="88"/>
  </cols>
  <sheetData>
    <row r="1" spans="2:46" hidden="1" x14ac:dyDescent="0.2"/>
    <row r="2" spans="2:46" ht="36.950000000000003" hidden="1" customHeight="1" x14ac:dyDescent="0.2">
      <c r="L2" s="320" t="s">
        <v>5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90" t="s">
        <v>95</v>
      </c>
    </row>
    <row r="3" spans="2:46" ht="6.95" hidden="1" customHeight="1" x14ac:dyDescent="0.2">
      <c r="B3" s="91"/>
      <c r="C3" s="92"/>
      <c r="D3" s="92"/>
      <c r="E3" s="92"/>
      <c r="F3" s="92"/>
      <c r="G3" s="92"/>
      <c r="H3" s="92"/>
      <c r="I3" s="92"/>
      <c r="J3" s="92"/>
      <c r="K3" s="92"/>
      <c r="L3" s="94"/>
      <c r="AT3" s="90" t="s">
        <v>82</v>
      </c>
    </row>
    <row r="4" spans="2:46" ht="24.95" hidden="1" customHeight="1" x14ac:dyDescent="0.2">
      <c r="B4" s="94"/>
      <c r="D4" s="95" t="s">
        <v>96</v>
      </c>
      <c r="L4" s="94"/>
      <c r="M4" s="96" t="s">
        <v>10</v>
      </c>
      <c r="AT4" s="90" t="s">
        <v>3</v>
      </c>
    </row>
    <row r="5" spans="2:46" ht="6.95" hidden="1" customHeight="1" x14ac:dyDescent="0.2">
      <c r="B5" s="94"/>
      <c r="L5" s="94"/>
    </row>
    <row r="6" spans="2:46" ht="12" hidden="1" customHeight="1" x14ac:dyDescent="0.2">
      <c r="B6" s="94"/>
      <c r="D6" s="97" t="s">
        <v>16</v>
      </c>
      <c r="L6" s="94"/>
    </row>
    <row r="7" spans="2:46" ht="16.5" hidden="1" customHeight="1" x14ac:dyDescent="0.2">
      <c r="B7" s="94"/>
      <c r="E7" s="318" t="str">
        <f>'Rekapitulace stavby'!K6</f>
        <v>Horky nad Jizerou - oprava vodovodu při stavbě KNL - II. etapa</v>
      </c>
      <c r="F7" s="319"/>
      <c r="G7" s="319"/>
      <c r="H7" s="319"/>
      <c r="L7" s="94"/>
    </row>
    <row r="8" spans="2:46" s="99" customFormat="1" ht="12" hidden="1" customHeight="1" x14ac:dyDescent="0.2">
      <c r="B8" s="98"/>
      <c r="D8" s="97" t="s">
        <v>97</v>
      </c>
      <c r="L8" s="98"/>
    </row>
    <row r="9" spans="2:46" s="99" customFormat="1" ht="16.5" hidden="1" customHeight="1" x14ac:dyDescent="0.2">
      <c r="B9" s="98"/>
      <c r="E9" s="316" t="s">
        <v>814</v>
      </c>
      <c r="F9" s="317"/>
      <c r="G9" s="317"/>
      <c r="H9" s="317"/>
      <c r="L9" s="98"/>
    </row>
    <row r="10" spans="2:46" s="99" customFormat="1" hidden="1" x14ac:dyDescent="0.2">
      <c r="B10" s="98"/>
      <c r="L10" s="98"/>
    </row>
    <row r="11" spans="2:46" s="99" customFormat="1" ht="12" hidden="1" customHeight="1" x14ac:dyDescent="0.2">
      <c r="B11" s="98"/>
      <c r="D11" s="97" t="s">
        <v>18</v>
      </c>
      <c r="F11" s="102" t="s">
        <v>1</v>
      </c>
      <c r="I11" s="97" t="s">
        <v>19</v>
      </c>
      <c r="J11" s="102" t="s">
        <v>1</v>
      </c>
      <c r="L11" s="98"/>
    </row>
    <row r="12" spans="2:46" s="99" customFormat="1" ht="12" hidden="1" customHeight="1" x14ac:dyDescent="0.2">
      <c r="B12" s="98"/>
      <c r="D12" s="97" t="s">
        <v>20</v>
      </c>
      <c r="F12" s="102" t="s">
        <v>21</v>
      </c>
      <c r="I12" s="97" t="s">
        <v>22</v>
      </c>
      <c r="J12" s="103" t="str">
        <f>'Rekapitulace stavby'!AN8</f>
        <v>4. 11. 2024</v>
      </c>
      <c r="L12" s="98"/>
    </row>
    <row r="13" spans="2:46" s="99" customFormat="1" ht="10.9" hidden="1" customHeight="1" x14ac:dyDescent="0.2">
      <c r="B13" s="98"/>
      <c r="L13" s="98"/>
    </row>
    <row r="14" spans="2:46" s="99" customFormat="1" ht="12" hidden="1" customHeight="1" x14ac:dyDescent="0.2">
      <c r="B14" s="98"/>
      <c r="D14" s="97" t="s">
        <v>24</v>
      </c>
      <c r="I14" s="97" t="s">
        <v>25</v>
      </c>
      <c r="J14" s="102" t="str">
        <f>IF('Rekapitulace stavby'!AN10="","",'Rekapitulace stavby'!AN10)</f>
        <v/>
      </c>
      <c r="L14" s="98"/>
    </row>
    <row r="15" spans="2:46" s="99" customFormat="1" ht="18" hidden="1" customHeight="1" x14ac:dyDescent="0.2">
      <c r="B15" s="98"/>
      <c r="E15" s="102" t="str">
        <f>IF('Rekapitulace stavby'!E11="","",'Rekapitulace stavby'!E11)</f>
        <v xml:space="preserve"> </v>
      </c>
      <c r="I15" s="97" t="s">
        <v>26</v>
      </c>
      <c r="J15" s="102" t="str">
        <f>IF('Rekapitulace stavby'!AN11="","",'Rekapitulace stavby'!AN11)</f>
        <v/>
      </c>
      <c r="L15" s="98"/>
    </row>
    <row r="16" spans="2:46" s="99" customFormat="1" ht="6.95" hidden="1" customHeight="1" x14ac:dyDescent="0.2">
      <c r="B16" s="98"/>
      <c r="L16" s="98"/>
    </row>
    <row r="17" spans="2:12" s="99" customFormat="1" ht="12" hidden="1" customHeight="1" x14ac:dyDescent="0.2">
      <c r="B17" s="98"/>
      <c r="D17" s="97" t="s">
        <v>27</v>
      </c>
      <c r="I17" s="97" t="s">
        <v>25</v>
      </c>
      <c r="J17" s="104" t="str">
        <f>'Rekapitulace stavby'!AN13</f>
        <v>Vyplň údaj</v>
      </c>
      <c r="L17" s="98"/>
    </row>
    <row r="18" spans="2:12" s="99" customFormat="1" ht="18" hidden="1" customHeight="1" x14ac:dyDescent="0.2">
      <c r="B18" s="98"/>
      <c r="E18" s="322" t="str">
        <f>'Rekapitulace stavby'!E14</f>
        <v>Vyplň údaj</v>
      </c>
      <c r="F18" s="323"/>
      <c r="G18" s="323"/>
      <c r="H18" s="323"/>
      <c r="I18" s="97" t="s">
        <v>26</v>
      </c>
      <c r="J18" s="104" t="str">
        <f>'Rekapitulace stavby'!AN14</f>
        <v>Vyplň údaj</v>
      </c>
      <c r="L18" s="98"/>
    </row>
    <row r="19" spans="2:12" s="99" customFormat="1" ht="6.95" hidden="1" customHeight="1" x14ac:dyDescent="0.2">
      <c r="B19" s="98"/>
      <c r="L19" s="98"/>
    </row>
    <row r="20" spans="2:12" s="99" customFormat="1" ht="12" hidden="1" customHeight="1" x14ac:dyDescent="0.2">
      <c r="B20" s="98"/>
      <c r="D20" s="97" t="s">
        <v>29</v>
      </c>
      <c r="I20" s="97" t="s">
        <v>25</v>
      </c>
      <c r="J20" s="102" t="str">
        <f>IF('Rekapitulace stavby'!AN16="","",'Rekapitulace stavby'!AN16)</f>
        <v/>
      </c>
      <c r="L20" s="98"/>
    </row>
    <row r="21" spans="2:12" s="99" customFormat="1" ht="18" hidden="1" customHeight="1" x14ac:dyDescent="0.2">
      <c r="B21" s="98"/>
      <c r="E21" s="102" t="str">
        <f>IF('Rekapitulace stavby'!E17="","",'Rekapitulace stavby'!E17)</f>
        <v xml:space="preserve"> </v>
      </c>
      <c r="I21" s="97" t="s">
        <v>26</v>
      </c>
      <c r="J21" s="102" t="str">
        <f>IF('Rekapitulace stavby'!AN17="","",'Rekapitulace stavby'!AN17)</f>
        <v/>
      </c>
      <c r="L21" s="98"/>
    </row>
    <row r="22" spans="2:12" s="99" customFormat="1" ht="6.95" hidden="1" customHeight="1" x14ac:dyDescent="0.2">
      <c r="B22" s="98"/>
      <c r="L22" s="98"/>
    </row>
    <row r="23" spans="2:12" s="99" customFormat="1" ht="12" hidden="1" customHeight="1" x14ac:dyDescent="0.2">
      <c r="B23" s="98"/>
      <c r="D23" s="97" t="s">
        <v>31</v>
      </c>
      <c r="I23" s="97" t="s">
        <v>25</v>
      </c>
      <c r="J23" s="102" t="str">
        <f>IF('Rekapitulace stavby'!AN19="","",'Rekapitulace stavby'!AN19)</f>
        <v/>
      </c>
      <c r="L23" s="98"/>
    </row>
    <row r="24" spans="2:12" s="99" customFormat="1" ht="18" hidden="1" customHeight="1" x14ac:dyDescent="0.2">
      <c r="B24" s="98"/>
      <c r="E24" s="102" t="str">
        <f>IF('Rekapitulace stavby'!E20="","",'Rekapitulace stavby'!E20)</f>
        <v xml:space="preserve"> </v>
      </c>
      <c r="I24" s="97" t="s">
        <v>26</v>
      </c>
      <c r="J24" s="102" t="str">
        <f>IF('Rekapitulace stavby'!AN20="","",'Rekapitulace stavby'!AN20)</f>
        <v/>
      </c>
      <c r="L24" s="98"/>
    </row>
    <row r="25" spans="2:12" s="99" customFormat="1" ht="6.95" hidden="1" customHeight="1" x14ac:dyDescent="0.2">
      <c r="B25" s="98"/>
      <c r="L25" s="98"/>
    </row>
    <row r="26" spans="2:12" s="99" customFormat="1" ht="12" hidden="1" customHeight="1" x14ac:dyDescent="0.2">
      <c r="B26" s="98"/>
      <c r="D26" s="97" t="s">
        <v>32</v>
      </c>
      <c r="L26" s="98"/>
    </row>
    <row r="27" spans="2:12" s="105" customFormat="1" ht="16.5" hidden="1" customHeight="1" x14ac:dyDescent="0.2">
      <c r="B27" s="100"/>
      <c r="E27" s="324" t="s">
        <v>1</v>
      </c>
      <c r="F27" s="324"/>
      <c r="G27" s="324"/>
      <c r="H27" s="324"/>
      <c r="L27" s="100"/>
    </row>
    <row r="28" spans="2:12" s="99" customFormat="1" ht="6.95" hidden="1" customHeight="1" x14ac:dyDescent="0.2">
      <c r="B28" s="98"/>
      <c r="L28" s="98"/>
    </row>
    <row r="29" spans="2:12" s="99" customFormat="1" ht="6.95" hidden="1" customHeight="1" x14ac:dyDescent="0.2">
      <c r="B29" s="98"/>
      <c r="D29" s="106"/>
      <c r="E29" s="106"/>
      <c r="F29" s="106"/>
      <c r="G29" s="106"/>
      <c r="H29" s="106"/>
      <c r="I29" s="106"/>
      <c r="J29" s="106"/>
      <c r="K29" s="106"/>
      <c r="L29" s="98"/>
    </row>
    <row r="30" spans="2:12" s="99" customFormat="1" ht="25.35" hidden="1" customHeight="1" x14ac:dyDescent="0.2">
      <c r="B30" s="98"/>
      <c r="D30" s="107" t="s">
        <v>33</v>
      </c>
      <c r="J30" s="108">
        <f>ROUND(J117, 2)</f>
        <v>0</v>
      </c>
      <c r="L30" s="98"/>
    </row>
    <row r="31" spans="2:12" s="99" customFormat="1" ht="6.95" hidden="1" customHeight="1" x14ac:dyDescent="0.2">
      <c r="B31" s="98"/>
      <c r="D31" s="106"/>
      <c r="E31" s="106"/>
      <c r="F31" s="106"/>
      <c r="G31" s="106"/>
      <c r="H31" s="106"/>
      <c r="I31" s="106"/>
      <c r="J31" s="106"/>
      <c r="K31" s="106"/>
      <c r="L31" s="98"/>
    </row>
    <row r="32" spans="2:12" s="99" customFormat="1" ht="14.45" hidden="1" customHeight="1" x14ac:dyDescent="0.2">
      <c r="B32" s="98"/>
      <c r="F32" s="109" t="s">
        <v>35</v>
      </c>
      <c r="I32" s="109" t="s">
        <v>34</v>
      </c>
      <c r="J32" s="109" t="s">
        <v>36</v>
      </c>
      <c r="L32" s="98"/>
    </row>
    <row r="33" spans="2:12" s="99" customFormat="1" ht="14.45" hidden="1" customHeight="1" x14ac:dyDescent="0.2">
      <c r="B33" s="98"/>
      <c r="D33" s="110" t="s">
        <v>37</v>
      </c>
      <c r="E33" s="97" t="s">
        <v>38</v>
      </c>
      <c r="F33" s="111">
        <f>ROUND((SUM(BE117:BE130)),  2)</f>
        <v>0</v>
      </c>
      <c r="I33" s="112">
        <v>0.21</v>
      </c>
      <c r="J33" s="111">
        <f>ROUND(((SUM(BE117:BE130))*I33),  2)</f>
        <v>0</v>
      </c>
      <c r="L33" s="98"/>
    </row>
    <row r="34" spans="2:12" s="99" customFormat="1" ht="14.45" hidden="1" customHeight="1" x14ac:dyDescent="0.2">
      <c r="B34" s="98"/>
      <c r="E34" s="97" t="s">
        <v>39</v>
      </c>
      <c r="F34" s="111">
        <f>ROUND((SUM(BF117:BF130)),  2)</f>
        <v>0</v>
      </c>
      <c r="I34" s="112">
        <v>0.12</v>
      </c>
      <c r="J34" s="111">
        <f>ROUND(((SUM(BF117:BF130))*I34),  2)</f>
        <v>0</v>
      </c>
      <c r="L34" s="98"/>
    </row>
    <row r="35" spans="2:12" s="99" customFormat="1" ht="14.45" hidden="1" customHeight="1" x14ac:dyDescent="0.2">
      <c r="B35" s="98"/>
      <c r="E35" s="97" t="s">
        <v>40</v>
      </c>
      <c r="F35" s="111">
        <f>ROUND((SUM(BG117:BG130)),  2)</f>
        <v>0</v>
      </c>
      <c r="I35" s="112">
        <v>0.21</v>
      </c>
      <c r="J35" s="111">
        <f>0</f>
        <v>0</v>
      </c>
      <c r="L35" s="98"/>
    </row>
    <row r="36" spans="2:12" s="99" customFormat="1" ht="14.45" hidden="1" customHeight="1" x14ac:dyDescent="0.2">
      <c r="B36" s="98"/>
      <c r="E36" s="97" t="s">
        <v>41</v>
      </c>
      <c r="F36" s="111">
        <f>ROUND((SUM(BH117:BH130)),  2)</f>
        <v>0</v>
      </c>
      <c r="I36" s="112">
        <v>0.12</v>
      </c>
      <c r="J36" s="111">
        <f>0</f>
        <v>0</v>
      </c>
      <c r="L36" s="98"/>
    </row>
    <row r="37" spans="2:12" s="99" customFormat="1" ht="14.45" hidden="1" customHeight="1" x14ac:dyDescent="0.2">
      <c r="B37" s="98"/>
      <c r="E37" s="97" t="s">
        <v>42</v>
      </c>
      <c r="F37" s="111">
        <f>ROUND((SUM(BI117:BI130)),  2)</f>
        <v>0</v>
      </c>
      <c r="I37" s="112">
        <v>0</v>
      </c>
      <c r="J37" s="111">
        <f>0</f>
        <v>0</v>
      </c>
      <c r="L37" s="98"/>
    </row>
    <row r="38" spans="2:12" s="99" customFormat="1" ht="6.95" hidden="1" customHeight="1" x14ac:dyDescent="0.2">
      <c r="B38" s="98"/>
      <c r="L38" s="98"/>
    </row>
    <row r="39" spans="2:12" s="99" customFormat="1" ht="25.35" hidden="1" customHeight="1" x14ac:dyDescent="0.2">
      <c r="B39" s="98"/>
      <c r="C39" s="113"/>
      <c r="D39" s="114" t="s">
        <v>43</v>
      </c>
      <c r="E39" s="115"/>
      <c r="F39" s="115"/>
      <c r="G39" s="116" t="s">
        <v>44</v>
      </c>
      <c r="H39" s="117" t="s">
        <v>45</v>
      </c>
      <c r="I39" s="115"/>
      <c r="J39" s="118">
        <f>SUM(J30:J37)</f>
        <v>0</v>
      </c>
      <c r="K39" s="119"/>
      <c r="L39" s="98"/>
    </row>
    <row r="40" spans="2:12" s="99" customFormat="1" ht="14.45" hidden="1" customHeight="1" x14ac:dyDescent="0.2">
      <c r="B40" s="98"/>
      <c r="L40" s="98"/>
    </row>
    <row r="41" spans="2:12" ht="14.45" hidden="1" customHeight="1" x14ac:dyDescent="0.2">
      <c r="B41" s="94"/>
      <c r="L41" s="94"/>
    </row>
    <row r="42" spans="2:12" ht="14.45" hidden="1" customHeight="1" x14ac:dyDescent="0.2">
      <c r="B42" s="94"/>
      <c r="L42" s="94"/>
    </row>
    <row r="43" spans="2:12" ht="14.45" hidden="1" customHeight="1" x14ac:dyDescent="0.2">
      <c r="B43" s="94"/>
      <c r="L43" s="94"/>
    </row>
    <row r="44" spans="2:12" ht="14.45" hidden="1" customHeight="1" x14ac:dyDescent="0.2">
      <c r="B44" s="94"/>
      <c r="L44" s="94"/>
    </row>
    <row r="45" spans="2:12" ht="14.45" hidden="1" customHeight="1" x14ac:dyDescent="0.2">
      <c r="B45" s="94"/>
      <c r="L45" s="94"/>
    </row>
    <row r="46" spans="2:12" ht="14.45" hidden="1" customHeight="1" x14ac:dyDescent="0.2">
      <c r="B46" s="94"/>
      <c r="L46" s="94"/>
    </row>
    <row r="47" spans="2:12" ht="14.45" hidden="1" customHeight="1" x14ac:dyDescent="0.2">
      <c r="B47" s="94"/>
      <c r="L47" s="94"/>
    </row>
    <row r="48" spans="2:12" ht="14.45" hidden="1" customHeight="1" x14ac:dyDescent="0.2">
      <c r="B48" s="94"/>
      <c r="L48" s="94"/>
    </row>
    <row r="49" spans="2:12" ht="14.45" hidden="1" customHeight="1" x14ac:dyDescent="0.2">
      <c r="B49" s="94"/>
      <c r="L49" s="94"/>
    </row>
    <row r="50" spans="2:12" s="99" customFormat="1" ht="14.45" hidden="1" customHeight="1" x14ac:dyDescent="0.2">
      <c r="B50" s="98"/>
      <c r="D50" s="120" t="s">
        <v>46</v>
      </c>
      <c r="E50" s="121"/>
      <c r="F50" s="121"/>
      <c r="G50" s="120" t="s">
        <v>47</v>
      </c>
      <c r="H50" s="121"/>
      <c r="I50" s="121"/>
      <c r="J50" s="121"/>
      <c r="K50" s="121"/>
      <c r="L50" s="98"/>
    </row>
    <row r="51" spans="2:12" hidden="1" x14ac:dyDescent="0.2">
      <c r="B51" s="94"/>
      <c r="L51" s="94"/>
    </row>
    <row r="52" spans="2:12" hidden="1" x14ac:dyDescent="0.2">
      <c r="B52" s="94"/>
      <c r="L52" s="94"/>
    </row>
    <row r="53" spans="2:12" hidden="1" x14ac:dyDescent="0.2">
      <c r="B53" s="94"/>
      <c r="L53" s="94"/>
    </row>
    <row r="54" spans="2:12" hidden="1" x14ac:dyDescent="0.2">
      <c r="B54" s="94"/>
      <c r="L54" s="94"/>
    </row>
    <row r="55" spans="2:12" hidden="1" x14ac:dyDescent="0.2">
      <c r="B55" s="94"/>
      <c r="L55" s="94"/>
    </row>
    <row r="56" spans="2:12" hidden="1" x14ac:dyDescent="0.2">
      <c r="B56" s="94"/>
      <c r="L56" s="94"/>
    </row>
    <row r="57" spans="2:12" hidden="1" x14ac:dyDescent="0.2">
      <c r="B57" s="94"/>
      <c r="L57" s="94"/>
    </row>
    <row r="58" spans="2:12" hidden="1" x14ac:dyDescent="0.2">
      <c r="B58" s="94"/>
      <c r="L58" s="94"/>
    </row>
    <row r="59" spans="2:12" hidden="1" x14ac:dyDescent="0.2">
      <c r="B59" s="94"/>
      <c r="L59" s="94"/>
    </row>
    <row r="60" spans="2:12" hidden="1" x14ac:dyDescent="0.2">
      <c r="B60" s="94"/>
      <c r="L60" s="94"/>
    </row>
    <row r="61" spans="2:12" s="99" customFormat="1" ht="12.75" hidden="1" x14ac:dyDescent="0.2">
      <c r="B61" s="98"/>
      <c r="D61" s="122" t="s">
        <v>48</v>
      </c>
      <c r="E61" s="123"/>
      <c r="F61" s="124" t="s">
        <v>49</v>
      </c>
      <c r="G61" s="122" t="s">
        <v>48</v>
      </c>
      <c r="H61" s="123"/>
      <c r="I61" s="123"/>
      <c r="J61" s="125" t="s">
        <v>49</v>
      </c>
      <c r="K61" s="123"/>
      <c r="L61" s="98"/>
    </row>
    <row r="62" spans="2:12" hidden="1" x14ac:dyDescent="0.2">
      <c r="B62" s="94"/>
      <c r="L62" s="94"/>
    </row>
    <row r="63" spans="2:12" hidden="1" x14ac:dyDescent="0.2">
      <c r="B63" s="94"/>
      <c r="L63" s="94"/>
    </row>
    <row r="64" spans="2:12" hidden="1" x14ac:dyDescent="0.2">
      <c r="B64" s="94"/>
      <c r="L64" s="94"/>
    </row>
    <row r="65" spans="2:12" s="99" customFormat="1" ht="12.75" hidden="1" x14ac:dyDescent="0.2">
      <c r="B65" s="98"/>
      <c r="D65" s="120" t="s">
        <v>50</v>
      </c>
      <c r="E65" s="121"/>
      <c r="F65" s="121"/>
      <c r="G65" s="120" t="s">
        <v>51</v>
      </c>
      <c r="H65" s="121"/>
      <c r="I65" s="121"/>
      <c r="J65" s="121"/>
      <c r="K65" s="121"/>
      <c r="L65" s="98"/>
    </row>
    <row r="66" spans="2:12" hidden="1" x14ac:dyDescent="0.2">
      <c r="B66" s="94"/>
      <c r="L66" s="94"/>
    </row>
    <row r="67" spans="2:12" hidden="1" x14ac:dyDescent="0.2">
      <c r="B67" s="94"/>
      <c r="L67" s="94"/>
    </row>
    <row r="68" spans="2:12" hidden="1" x14ac:dyDescent="0.2">
      <c r="B68" s="94"/>
      <c r="L68" s="94"/>
    </row>
    <row r="69" spans="2:12" hidden="1" x14ac:dyDescent="0.2">
      <c r="B69" s="94"/>
      <c r="L69" s="94"/>
    </row>
    <row r="70" spans="2:12" hidden="1" x14ac:dyDescent="0.2">
      <c r="B70" s="94"/>
      <c r="L70" s="94"/>
    </row>
    <row r="71" spans="2:12" hidden="1" x14ac:dyDescent="0.2">
      <c r="B71" s="94"/>
      <c r="L71" s="94"/>
    </row>
    <row r="72" spans="2:12" hidden="1" x14ac:dyDescent="0.2">
      <c r="B72" s="94"/>
      <c r="L72" s="94"/>
    </row>
    <row r="73" spans="2:12" hidden="1" x14ac:dyDescent="0.2">
      <c r="B73" s="94"/>
      <c r="L73" s="94"/>
    </row>
    <row r="74" spans="2:12" hidden="1" x14ac:dyDescent="0.2">
      <c r="B74" s="94"/>
      <c r="L74" s="94"/>
    </row>
    <row r="75" spans="2:12" hidden="1" x14ac:dyDescent="0.2">
      <c r="B75" s="94"/>
      <c r="L75" s="94"/>
    </row>
    <row r="76" spans="2:12" s="99" customFormat="1" ht="12.75" hidden="1" x14ac:dyDescent="0.2">
      <c r="B76" s="98"/>
      <c r="D76" s="122" t="s">
        <v>48</v>
      </c>
      <c r="E76" s="123"/>
      <c r="F76" s="124" t="s">
        <v>49</v>
      </c>
      <c r="G76" s="122" t="s">
        <v>48</v>
      </c>
      <c r="H76" s="123"/>
      <c r="I76" s="123"/>
      <c r="J76" s="125" t="s">
        <v>49</v>
      </c>
      <c r="K76" s="123"/>
      <c r="L76" s="98"/>
    </row>
    <row r="77" spans="2:12" s="99" customFormat="1" ht="14.45" hidden="1" customHeight="1" x14ac:dyDescent="0.2"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98"/>
    </row>
    <row r="78" spans="2:12" hidden="1" x14ac:dyDescent="0.2"/>
    <row r="81" spans="2:47" s="99" customFormat="1" ht="6.95" customHeight="1" x14ac:dyDescent="0.2">
      <c r="B81" s="128"/>
      <c r="C81" s="129"/>
      <c r="D81" s="129"/>
      <c r="E81" s="129"/>
      <c r="F81" s="129"/>
      <c r="G81" s="129"/>
      <c r="H81" s="129"/>
      <c r="I81" s="129"/>
      <c r="J81" s="129"/>
      <c r="K81" s="129"/>
      <c r="L81" s="98"/>
    </row>
    <row r="82" spans="2:47" s="99" customFormat="1" ht="24.95" customHeight="1" x14ac:dyDescent="0.2">
      <c r="B82" s="98"/>
      <c r="C82" s="95" t="s">
        <v>99</v>
      </c>
      <c r="L82" s="98"/>
    </row>
    <row r="83" spans="2:47" s="99" customFormat="1" ht="6.95" customHeight="1" x14ac:dyDescent="0.2">
      <c r="B83" s="98"/>
      <c r="L83" s="98"/>
    </row>
    <row r="84" spans="2:47" s="99" customFormat="1" ht="12" customHeight="1" x14ac:dyDescent="0.2">
      <c r="B84" s="98"/>
      <c r="C84" s="97" t="s">
        <v>16</v>
      </c>
      <c r="L84" s="98"/>
    </row>
    <row r="85" spans="2:47" s="99" customFormat="1" ht="16.5" customHeight="1" x14ac:dyDescent="0.2">
      <c r="B85" s="98"/>
      <c r="E85" s="318" t="str">
        <f>E7</f>
        <v>Horky nad Jizerou - oprava vodovodu při stavbě KNL - II. etapa</v>
      </c>
      <c r="F85" s="319"/>
      <c r="G85" s="319"/>
      <c r="H85" s="319"/>
      <c r="L85" s="98"/>
    </row>
    <row r="86" spans="2:47" s="99" customFormat="1" ht="12" customHeight="1" x14ac:dyDescent="0.2">
      <c r="B86" s="98"/>
      <c r="C86" s="97" t="s">
        <v>97</v>
      </c>
      <c r="L86" s="98"/>
    </row>
    <row r="87" spans="2:47" s="99" customFormat="1" ht="16.5" customHeight="1" x14ac:dyDescent="0.2">
      <c r="B87" s="98"/>
      <c r="E87" s="316" t="s">
        <v>1080</v>
      </c>
      <c r="F87" s="317"/>
      <c r="G87" s="317"/>
      <c r="H87" s="317"/>
      <c r="L87" s="98"/>
    </row>
    <row r="88" spans="2:47" s="99" customFormat="1" ht="6.95" customHeight="1" x14ac:dyDescent="0.2">
      <c r="B88" s="98"/>
      <c r="L88" s="98"/>
    </row>
    <row r="89" spans="2:47" s="99" customFormat="1" ht="12" customHeight="1" x14ac:dyDescent="0.2">
      <c r="B89" s="98"/>
      <c r="C89" s="97" t="s">
        <v>20</v>
      </c>
      <c r="F89" s="102" t="str">
        <f>F12</f>
        <v xml:space="preserve"> </v>
      </c>
      <c r="I89" s="97" t="s">
        <v>22</v>
      </c>
      <c r="J89" s="103" t="str">
        <f>IF(J12="","",J12)</f>
        <v>4. 11. 2024</v>
      </c>
      <c r="L89" s="98"/>
    </row>
    <row r="90" spans="2:47" s="99" customFormat="1" ht="6.95" customHeight="1" x14ac:dyDescent="0.2">
      <c r="B90" s="98"/>
      <c r="L90" s="98"/>
    </row>
    <row r="91" spans="2:47" s="99" customFormat="1" ht="15.2" customHeight="1" x14ac:dyDescent="0.2">
      <c r="B91" s="98"/>
      <c r="C91" s="97" t="s">
        <v>24</v>
      </c>
      <c r="F91" s="102" t="str">
        <f>E15</f>
        <v xml:space="preserve"> </v>
      </c>
      <c r="I91" s="97" t="s">
        <v>29</v>
      </c>
      <c r="J91" s="130" t="str">
        <f>E21</f>
        <v xml:space="preserve"> </v>
      </c>
      <c r="L91" s="98"/>
    </row>
    <row r="92" spans="2:47" s="99" customFormat="1" ht="15.2" customHeight="1" x14ac:dyDescent="0.2">
      <c r="B92" s="98"/>
      <c r="C92" s="97" t="s">
        <v>27</v>
      </c>
      <c r="F92" s="102" t="str">
        <f>IF(E18="","",E18)</f>
        <v>Vyplň údaj</v>
      </c>
      <c r="I92" s="97" t="s">
        <v>31</v>
      </c>
      <c r="J92" s="130" t="str">
        <f>E24</f>
        <v xml:space="preserve"> </v>
      </c>
      <c r="L92" s="98"/>
    </row>
    <row r="93" spans="2:47" s="99" customFormat="1" ht="10.35" customHeight="1" x14ac:dyDescent="0.2">
      <c r="B93" s="98"/>
      <c r="L93" s="98"/>
    </row>
    <row r="94" spans="2:47" s="99" customFormat="1" ht="29.25" customHeight="1" x14ac:dyDescent="0.2">
      <c r="B94" s="98"/>
      <c r="C94" s="260" t="s">
        <v>100</v>
      </c>
      <c r="D94" s="261"/>
      <c r="E94" s="261"/>
      <c r="F94" s="261"/>
      <c r="G94" s="261"/>
      <c r="H94" s="261"/>
      <c r="I94" s="261"/>
      <c r="J94" s="262" t="s">
        <v>101</v>
      </c>
      <c r="K94" s="113"/>
      <c r="L94" s="98"/>
    </row>
    <row r="95" spans="2:47" s="99" customFormat="1" ht="10.35" customHeight="1" x14ac:dyDescent="0.2">
      <c r="B95" s="98"/>
      <c r="L95" s="98"/>
    </row>
    <row r="96" spans="2:47" s="99" customFormat="1" ht="22.9" customHeight="1" x14ac:dyDescent="0.2">
      <c r="B96" s="98"/>
      <c r="C96" s="133" t="s">
        <v>102</v>
      </c>
      <c r="J96" s="134">
        <f>J117</f>
        <v>0</v>
      </c>
      <c r="L96" s="98"/>
      <c r="AU96" s="90" t="s">
        <v>103</v>
      </c>
    </row>
    <row r="97" spans="2:12" s="136" customFormat="1" ht="24.95" customHeight="1" x14ac:dyDescent="0.2">
      <c r="B97" s="135"/>
      <c r="D97" s="137" t="s">
        <v>815</v>
      </c>
      <c r="E97" s="138"/>
      <c r="F97" s="138"/>
      <c r="G97" s="138"/>
      <c r="H97" s="138"/>
      <c r="I97" s="138"/>
      <c r="J97" s="139">
        <f>J118</f>
        <v>0</v>
      </c>
      <c r="L97" s="135"/>
    </row>
    <row r="98" spans="2:12" s="99" customFormat="1" ht="21.75" customHeight="1" x14ac:dyDescent="0.2">
      <c r="B98" s="98"/>
      <c r="L98" s="98"/>
    </row>
    <row r="99" spans="2:12" s="99" customFormat="1" ht="6.95" customHeight="1" x14ac:dyDescent="0.2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98"/>
    </row>
    <row r="103" spans="2:12" s="99" customFormat="1" ht="6.95" customHeight="1" x14ac:dyDescent="0.2">
      <c r="B103" s="128"/>
      <c r="C103" s="129"/>
      <c r="D103" s="129"/>
      <c r="E103" s="129"/>
      <c r="F103" s="129"/>
      <c r="G103" s="129"/>
      <c r="H103" s="129"/>
      <c r="I103" s="129"/>
      <c r="J103" s="129"/>
      <c r="K103" s="129"/>
      <c r="L103" s="98"/>
    </row>
    <row r="104" spans="2:12" s="99" customFormat="1" ht="24.95" customHeight="1" x14ac:dyDescent="0.2">
      <c r="B104" s="98"/>
      <c r="C104" s="95" t="s">
        <v>112</v>
      </c>
      <c r="L104" s="98"/>
    </row>
    <row r="105" spans="2:12" s="99" customFormat="1" ht="6.95" customHeight="1" x14ac:dyDescent="0.2">
      <c r="B105" s="98"/>
      <c r="L105" s="98"/>
    </row>
    <row r="106" spans="2:12" s="99" customFormat="1" ht="12" customHeight="1" x14ac:dyDescent="0.2">
      <c r="B106" s="98"/>
      <c r="C106" s="97" t="s">
        <v>16</v>
      </c>
      <c r="L106" s="98"/>
    </row>
    <row r="107" spans="2:12" s="99" customFormat="1" ht="16.5" customHeight="1" x14ac:dyDescent="0.2">
      <c r="B107" s="98"/>
      <c r="E107" s="318" t="str">
        <f>E7</f>
        <v>Horky nad Jizerou - oprava vodovodu při stavbě KNL - II. etapa</v>
      </c>
      <c r="F107" s="319"/>
      <c r="G107" s="319"/>
      <c r="H107" s="319"/>
      <c r="L107" s="98"/>
    </row>
    <row r="108" spans="2:12" s="99" customFormat="1" ht="12" customHeight="1" x14ac:dyDescent="0.2">
      <c r="B108" s="98"/>
      <c r="C108" s="97" t="s">
        <v>97</v>
      </c>
      <c r="L108" s="98"/>
    </row>
    <row r="109" spans="2:12" s="99" customFormat="1" ht="16.5" customHeight="1" x14ac:dyDescent="0.2">
      <c r="B109" s="98"/>
      <c r="E109" s="316" t="str">
        <f>E87</f>
        <v>Vedlejší náklady</v>
      </c>
      <c r="F109" s="317"/>
      <c r="G109" s="317"/>
      <c r="H109" s="317"/>
      <c r="L109" s="98"/>
    </row>
    <row r="110" spans="2:12" s="99" customFormat="1" ht="6.95" customHeight="1" x14ac:dyDescent="0.2">
      <c r="B110" s="98"/>
      <c r="L110" s="98"/>
    </row>
    <row r="111" spans="2:12" s="99" customFormat="1" ht="12" customHeight="1" x14ac:dyDescent="0.2">
      <c r="B111" s="98"/>
      <c r="C111" s="97" t="s">
        <v>20</v>
      </c>
      <c r="F111" s="102" t="str">
        <f>F12</f>
        <v xml:space="preserve"> </v>
      </c>
      <c r="I111" s="97" t="s">
        <v>22</v>
      </c>
      <c r="J111" s="103" t="str">
        <f>IF(J12="","",J12)</f>
        <v>4. 11. 2024</v>
      </c>
      <c r="L111" s="98"/>
    </row>
    <row r="112" spans="2:12" s="99" customFormat="1" ht="6.95" customHeight="1" x14ac:dyDescent="0.2">
      <c r="B112" s="98"/>
      <c r="L112" s="98"/>
    </row>
    <row r="113" spans="2:65" s="99" customFormat="1" ht="15.2" customHeight="1" x14ac:dyDescent="0.2">
      <c r="B113" s="98"/>
      <c r="C113" s="97" t="s">
        <v>24</v>
      </c>
      <c r="F113" s="102" t="str">
        <f>E15</f>
        <v xml:space="preserve"> </v>
      </c>
      <c r="I113" s="97" t="s">
        <v>29</v>
      </c>
      <c r="J113" s="130" t="str">
        <f>E21</f>
        <v xml:space="preserve"> </v>
      </c>
      <c r="L113" s="98"/>
    </row>
    <row r="114" spans="2:65" s="99" customFormat="1" ht="15.2" customHeight="1" x14ac:dyDescent="0.2">
      <c r="B114" s="98"/>
      <c r="C114" s="97" t="s">
        <v>27</v>
      </c>
      <c r="F114" s="102" t="str">
        <f>IF(E18="","",E18)</f>
        <v>Vyplň údaj</v>
      </c>
      <c r="I114" s="97" t="s">
        <v>31</v>
      </c>
      <c r="J114" s="130" t="str">
        <f>E24</f>
        <v xml:space="preserve"> </v>
      </c>
      <c r="L114" s="98"/>
    </row>
    <row r="115" spans="2:65" s="99" customFormat="1" ht="10.35" customHeight="1" x14ac:dyDescent="0.2">
      <c r="B115" s="98"/>
      <c r="L115" s="98"/>
    </row>
    <row r="116" spans="2:65" s="155" customFormat="1" ht="29.25" customHeight="1" x14ac:dyDescent="0.2">
      <c r="B116" s="147"/>
      <c r="C116" s="263" t="s">
        <v>113</v>
      </c>
      <c r="D116" s="264" t="s">
        <v>57</v>
      </c>
      <c r="E116" s="264" t="s">
        <v>54</v>
      </c>
      <c r="F116" s="264" t="s">
        <v>55</v>
      </c>
      <c r="G116" s="264" t="s">
        <v>114</v>
      </c>
      <c r="H116" s="264" t="s">
        <v>115</v>
      </c>
      <c r="I116" s="264" t="s">
        <v>116</v>
      </c>
      <c r="J116" s="265" t="s">
        <v>101</v>
      </c>
      <c r="K116" s="151" t="s">
        <v>117</v>
      </c>
      <c r="L116" s="147"/>
      <c r="M116" s="152" t="s">
        <v>1</v>
      </c>
      <c r="N116" s="153" t="s">
        <v>37</v>
      </c>
      <c r="O116" s="153" t="s">
        <v>118</v>
      </c>
      <c r="P116" s="153" t="s">
        <v>119</v>
      </c>
      <c r="Q116" s="153" t="s">
        <v>120</v>
      </c>
      <c r="R116" s="153" t="s">
        <v>121</v>
      </c>
      <c r="S116" s="153" t="s">
        <v>122</v>
      </c>
      <c r="T116" s="154" t="s">
        <v>123</v>
      </c>
    </row>
    <row r="117" spans="2:65" s="99" customFormat="1" ht="22.9" customHeight="1" x14ac:dyDescent="0.25">
      <c r="B117" s="98"/>
      <c r="C117" s="156" t="s">
        <v>124</v>
      </c>
      <c r="J117" s="157">
        <f>J118</f>
        <v>0</v>
      </c>
      <c r="L117" s="98"/>
      <c r="M117" s="159"/>
      <c r="N117" s="106"/>
      <c r="O117" s="106"/>
      <c r="P117" s="160">
        <f>P118</f>
        <v>0</v>
      </c>
      <c r="Q117" s="106"/>
      <c r="R117" s="160">
        <f>R118</f>
        <v>0</v>
      </c>
      <c r="S117" s="106"/>
      <c r="T117" s="161">
        <f>T118</f>
        <v>0</v>
      </c>
      <c r="AT117" s="90" t="s">
        <v>71</v>
      </c>
      <c r="AU117" s="90" t="s">
        <v>103</v>
      </c>
      <c r="BK117" s="162">
        <f>BK118</f>
        <v>0</v>
      </c>
    </row>
    <row r="118" spans="2:65" s="164" customFormat="1" ht="25.9" customHeight="1" x14ac:dyDescent="0.2">
      <c r="B118" s="163"/>
      <c r="D118" s="165" t="s">
        <v>71</v>
      </c>
      <c r="E118" s="166" t="s">
        <v>816</v>
      </c>
      <c r="F118" s="166" t="s">
        <v>817</v>
      </c>
      <c r="J118" s="167">
        <f>SUM(J119:J135)</f>
        <v>0</v>
      </c>
      <c r="L118" s="163"/>
      <c r="M118" s="169"/>
      <c r="P118" s="170">
        <f>SUM(P119:P130)</f>
        <v>0</v>
      </c>
      <c r="R118" s="170">
        <f>SUM(R119:R130)</f>
        <v>0</v>
      </c>
      <c r="T118" s="171">
        <f>SUM(T119:T130)</f>
        <v>0</v>
      </c>
      <c r="AR118" s="165" t="s">
        <v>141</v>
      </c>
      <c r="AT118" s="172" t="s">
        <v>71</v>
      </c>
      <c r="AU118" s="172" t="s">
        <v>72</v>
      </c>
      <c r="AY118" s="165" t="s">
        <v>127</v>
      </c>
      <c r="BK118" s="173">
        <f>SUM(BK119:BK130)</f>
        <v>0</v>
      </c>
    </row>
    <row r="119" spans="2:65" s="99" customFormat="1" ht="16.5" customHeight="1" x14ac:dyDescent="0.2">
      <c r="B119" s="98"/>
      <c r="C119" s="176" t="s">
        <v>80</v>
      </c>
      <c r="D119" s="176" t="s">
        <v>129</v>
      </c>
      <c r="E119" s="177" t="s">
        <v>818</v>
      </c>
      <c r="F119" s="178" t="s">
        <v>819</v>
      </c>
      <c r="G119" s="179" t="s">
        <v>557</v>
      </c>
      <c r="H119" s="180">
        <v>1</v>
      </c>
      <c r="I119" s="81"/>
      <c r="J119" s="181">
        <f t="shared" ref="J119:J133" si="0">ROUND(I119*H119,2)</f>
        <v>0</v>
      </c>
      <c r="K119" s="182"/>
      <c r="L119" s="98"/>
      <c r="M119" s="183" t="s">
        <v>1</v>
      </c>
      <c r="N119" s="184" t="s">
        <v>38</v>
      </c>
      <c r="P119" s="185">
        <f t="shared" ref="P119:P133" si="1">O119*H119</f>
        <v>0</v>
      </c>
      <c r="Q119" s="185">
        <v>0</v>
      </c>
      <c r="R119" s="185">
        <f t="shared" ref="R119:R133" si="2">Q119*H119</f>
        <v>0</v>
      </c>
      <c r="S119" s="185">
        <v>0</v>
      </c>
      <c r="T119" s="186">
        <f t="shared" ref="T119:T133" si="3">S119*H119</f>
        <v>0</v>
      </c>
      <c r="AR119" s="131" t="s">
        <v>131</v>
      </c>
      <c r="AT119" s="131" t="s">
        <v>129</v>
      </c>
      <c r="AU119" s="131" t="s">
        <v>80</v>
      </c>
      <c r="AY119" s="90" t="s">
        <v>127</v>
      </c>
      <c r="BE119" s="187">
        <f t="shared" ref="BE119:BE133" si="4">IF(N119="základní",J119,0)</f>
        <v>0</v>
      </c>
      <c r="BF119" s="187">
        <f t="shared" ref="BF119:BF133" si="5">IF(N119="snížená",J119,0)</f>
        <v>0</v>
      </c>
      <c r="BG119" s="187">
        <f t="shared" ref="BG119:BG133" si="6">IF(N119="zákl. přenesená",J119,0)</f>
        <v>0</v>
      </c>
      <c r="BH119" s="187">
        <f t="shared" ref="BH119:BH133" si="7">IF(N119="sníž. přenesená",J119,0)</f>
        <v>0</v>
      </c>
      <c r="BI119" s="187">
        <f t="shared" ref="BI119:BI133" si="8">IF(N119="nulová",J119,0)</f>
        <v>0</v>
      </c>
      <c r="BJ119" s="90" t="s">
        <v>80</v>
      </c>
      <c r="BK119" s="187">
        <f t="shared" ref="BK119:BK133" si="9">ROUND(I119*H119,2)</f>
        <v>0</v>
      </c>
      <c r="BL119" s="90" t="s">
        <v>131</v>
      </c>
      <c r="BM119" s="131" t="s">
        <v>908</v>
      </c>
    </row>
    <row r="120" spans="2:65" s="99" customFormat="1" ht="66.75" customHeight="1" x14ac:dyDescent="0.2">
      <c r="B120" s="98"/>
      <c r="C120" s="176" t="s">
        <v>82</v>
      </c>
      <c r="D120" s="176" t="s">
        <v>129</v>
      </c>
      <c r="E120" s="177" t="s">
        <v>820</v>
      </c>
      <c r="F120" s="178" t="s">
        <v>909</v>
      </c>
      <c r="G120" s="179" t="s">
        <v>557</v>
      </c>
      <c r="H120" s="180">
        <v>26</v>
      </c>
      <c r="I120" s="81"/>
      <c r="J120" s="181">
        <f t="shared" si="0"/>
        <v>0</v>
      </c>
      <c r="K120" s="182"/>
      <c r="L120" s="98"/>
      <c r="M120" s="183" t="s">
        <v>1</v>
      </c>
      <c r="N120" s="184" t="s">
        <v>38</v>
      </c>
      <c r="P120" s="185">
        <f t="shared" si="1"/>
        <v>0</v>
      </c>
      <c r="Q120" s="185">
        <v>0</v>
      </c>
      <c r="R120" s="185">
        <f t="shared" si="2"/>
        <v>0</v>
      </c>
      <c r="S120" s="185">
        <v>0</v>
      </c>
      <c r="T120" s="186">
        <f t="shared" si="3"/>
        <v>0</v>
      </c>
      <c r="AR120" s="131" t="s">
        <v>131</v>
      </c>
      <c r="AT120" s="131" t="s">
        <v>129</v>
      </c>
      <c r="AU120" s="131" t="s">
        <v>80</v>
      </c>
      <c r="AY120" s="90" t="s">
        <v>127</v>
      </c>
      <c r="BE120" s="187">
        <f t="shared" si="4"/>
        <v>0</v>
      </c>
      <c r="BF120" s="187">
        <f t="shared" si="5"/>
        <v>0</v>
      </c>
      <c r="BG120" s="187">
        <f t="shared" si="6"/>
        <v>0</v>
      </c>
      <c r="BH120" s="187">
        <f t="shared" si="7"/>
        <v>0</v>
      </c>
      <c r="BI120" s="187">
        <f t="shared" si="8"/>
        <v>0</v>
      </c>
      <c r="BJ120" s="90" t="s">
        <v>80</v>
      </c>
      <c r="BK120" s="187">
        <f t="shared" si="9"/>
        <v>0</v>
      </c>
      <c r="BL120" s="90" t="s">
        <v>131</v>
      </c>
      <c r="BM120" s="131" t="s">
        <v>910</v>
      </c>
    </row>
    <row r="121" spans="2:65" s="99" customFormat="1" ht="44.25" customHeight="1" x14ac:dyDescent="0.2">
      <c r="B121" s="98"/>
      <c r="C121" s="176" t="s">
        <v>134</v>
      </c>
      <c r="D121" s="176" t="s">
        <v>129</v>
      </c>
      <c r="E121" s="177" t="s">
        <v>911</v>
      </c>
      <c r="F121" s="178" t="s">
        <v>912</v>
      </c>
      <c r="G121" s="179" t="s">
        <v>557</v>
      </c>
      <c r="H121" s="180">
        <v>1</v>
      </c>
      <c r="I121" s="81"/>
      <c r="J121" s="181">
        <f t="shared" si="0"/>
        <v>0</v>
      </c>
      <c r="K121" s="182"/>
      <c r="L121" s="98"/>
      <c r="M121" s="183" t="s">
        <v>1</v>
      </c>
      <c r="N121" s="184" t="s">
        <v>38</v>
      </c>
      <c r="P121" s="185">
        <f t="shared" si="1"/>
        <v>0</v>
      </c>
      <c r="Q121" s="185">
        <v>0</v>
      </c>
      <c r="R121" s="185">
        <f t="shared" si="2"/>
        <v>0</v>
      </c>
      <c r="S121" s="185">
        <v>0</v>
      </c>
      <c r="T121" s="186">
        <f t="shared" si="3"/>
        <v>0</v>
      </c>
      <c r="AR121" s="131" t="s">
        <v>131</v>
      </c>
      <c r="AT121" s="131" t="s">
        <v>129</v>
      </c>
      <c r="AU121" s="131" t="s">
        <v>80</v>
      </c>
      <c r="AY121" s="90" t="s">
        <v>127</v>
      </c>
      <c r="BE121" s="187">
        <f t="shared" si="4"/>
        <v>0</v>
      </c>
      <c r="BF121" s="187">
        <f t="shared" si="5"/>
        <v>0</v>
      </c>
      <c r="BG121" s="187">
        <f t="shared" si="6"/>
        <v>0</v>
      </c>
      <c r="BH121" s="187">
        <f t="shared" si="7"/>
        <v>0</v>
      </c>
      <c r="BI121" s="187">
        <f t="shared" si="8"/>
        <v>0</v>
      </c>
      <c r="BJ121" s="90" t="s">
        <v>80</v>
      </c>
      <c r="BK121" s="187">
        <f t="shared" si="9"/>
        <v>0</v>
      </c>
      <c r="BL121" s="90" t="s">
        <v>131</v>
      </c>
      <c r="BM121" s="131" t="s">
        <v>913</v>
      </c>
    </row>
    <row r="122" spans="2:65" s="99" customFormat="1" ht="39.75" customHeight="1" x14ac:dyDescent="0.2">
      <c r="B122" s="98"/>
      <c r="C122" s="176" t="s">
        <v>131</v>
      </c>
      <c r="D122" s="176" t="s">
        <v>129</v>
      </c>
      <c r="E122" s="177" t="s">
        <v>914</v>
      </c>
      <c r="F122" s="178" t="s">
        <v>915</v>
      </c>
      <c r="G122" s="179" t="s">
        <v>557</v>
      </c>
      <c r="H122" s="180">
        <v>1</v>
      </c>
      <c r="I122" s="81"/>
      <c r="J122" s="181">
        <f t="shared" si="0"/>
        <v>0</v>
      </c>
      <c r="K122" s="182"/>
      <c r="L122" s="98"/>
      <c r="M122" s="183" t="s">
        <v>1</v>
      </c>
      <c r="N122" s="184" t="s">
        <v>38</v>
      </c>
      <c r="P122" s="185">
        <f t="shared" si="1"/>
        <v>0</v>
      </c>
      <c r="Q122" s="185">
        <v>0</v>
      </c>
      <c r="R122" s="185">
        <f t="shared" si="2"/>
        <v>0</v>
      </c>
      <c r="S122" s="185">
        <v>0</v>
      </c>
      <c r="T122" s="186">
        <f t="shared" si="3"/>
        <v>0</v>
      </c>
      <c r="AR122" s="131" t="s">
        <v>131</v>
      </c>
      <c r="AT122" s="131" t="s">
        <v>129</v>
      </c>
      <c r="AU122" s="131" t="s">
        <v>80</v>
      </c>
      <c r="AY122" s="90" t="s">
        <v>127</v>
      </c>
      <c r="BE122" s="187">
        <f t="shared" si="4"/>
        <v>0</v>
      </c>
      <c r="BF122" s="187">
        <f t="shared" si="5"/>
        <v>0</v>
      </c>
      <c r="BG122" s="187">
        <f t="shared" si="6"/>
        <v>0</v>
      </c>
      <c r="BH122" s="187">
        <f t="shared" si="7"/>
        <v>0</v>
      </c>
      <c r="BI122" s="187">
        <f t="shared" si="8"/>
        <v>0</v>
      </c>
      <c r="BJ122" s="90" t="s">
        <v>80</v>
      </c>
      <c r="BK122" s="187">
        <f t="shared" si="9"/>
        <v>0</v>
      </c>
      <c r="BL122" s="90" t="s">
        <v>131</v>
      </c>
      <c r="BM122" s="131" t="s">
        <v>916</v>
      </c>
    </row>
    <row r="123" spans="2:65" s="99" customFormat="1" ht="39" customHeight="1" x14ac:dyDescent="0.2">
      <c r="B123" s="98"/>
      <c r="C123" s="176" t="s">
        <v>141</v>
      </c>
      <c r="D123" s="176" t="s">
        <v>129</v>
      </c>
      <c r="E123" s="177" t="s">
        <v>917</v>
      </c>
      <c r="F123" s="178" t="s">
        <v>948</v>
      </c>
      <c r="G123" s="179" t="s">
        <v>557</v>
      </c>
      <c r="H123" s="180">
        <v>1</v>
      </c>
      <c r="I123" s="81"/>
      <c r="J123" s="181">
        <f t="shared" si="0"/>
        <v>0</v>
      </c>
      <c r="K123" s="182"/>
      <c r="L123" s="98"/>
      <c r="M123" s="183" t="s">
        <v>1</v>
      </c>
      <c r="N123" s="184" t="s">
        <v>38</v>
      </c>
      <c r="P123" s="185">
        <f t="shared" si="1"/>
        <v>0</v>
      </c>
      <c r="Q123" s="185">
        <v>0</v>
      </c>
      <c r="R123" s="185">
        <f t="shared" si="2"/>
        <v>0</v>
      </c>
      <c r="S123" s="185">
        <v>0</v>
      </c>
      <c r="T123" s="186">
        <f t="shared" si="3"/>
        <v>0</v>
      </c>
      <c r="AR123" s="131" t="s">
        <v>131</v>
      </c>
      <c r="AT123" s="131" t="s">
        <v>129</v>
      </c>
      <c r="AU123" s="131" t="s">
        <v>80</v>
      </c>
      <c r="AY123" s="90" t="s">
        <v>127</v>
      </c>
      <c r="BE123" s="187">
        <f t="shared" si="4"/>
        <v>0</v>
      </c>
      <c r="BF123" s="187">
        <f t="shared" si="5"/>
        <v>0</v>
      </c>
      <c r="BG123" s="187">
        <f t="shared" si="6"/>
        <v>0</v>
      </c>
      <c r="BH123" s="187">
        <f t="shared" si="7"/>
        <v>0</v>
      </c>
      <c r="BI123" s="187">
        <f t="shared" si="8"/>
        <v>0</v>
      </c>
      <c r="BJ123" s="90" t="s">
        <v>80</v>
      </c>
      <c r="BK123" s="187">
        <f t="shared" si="9"/>
        <v>0</v>
      </c>
      <c r="BL123" s="90" t="s">
        <v>131</v>
      </c>
      <c r="BM123" s="131" t="s">
        <v>918</v>
      </c>
    </row>
    <row r="124" spans="2:65" s="99" customFormat="1" ht="21.75" customHeight="1" x14ac:dyDescent="0.2">
      <c r="B124" s="98"/>
      <c r="C124" s="176" t="s">
        <v>144</v>
      </c>
      <c r="D124" s="176" t="s">
        <v>129</v>
      </c>
      <c r="E124" s="177" t="s">
        <v>919</v>
      </c>
      <c r="F124" s="178" t="s">
        <v>920</v>
      </c>
      <c r="G124" s="179" t="s">
        <v>557</v>
      </c>
      <c r="H124" s="180">
        <v>1</v>
      </c>
      <c r="I124" s="81"/>
      <c r="J124" s="181">
        <f t="shared" si="0"/>
        <v>0</v>
      </c>
      <c r="K124" s="182"/>
      <c r="L124" s="98"/>
      <c r="M124" s="183" t="s">
        <v>1</v>
      </c>
      <c r="N124" s="184" t="s">
        <v>38</v>
      </c>
      <c r="P124" s="185">
        <f t="shared" si="1"/>
        <v>0</v>
      </c>
      <c r="Q124" s="185">
        <v>0</v>
      </c>
      <c r="R124" s="185">
        <f t="shared" si="2"/>
        <v>0</v>
      </c>
      <c r="S124" s="185">
        <v>0</v>
      </c>
      <c r="T124" s="186">
        <f t="shared" si="3"/>
        <v>0</v>
      </c>
      <c r="AR124" s="131" t="s">
        <v>131</v>
      </c>
      <c r="AT124" s="131" t="s">
        <v>129</v>
      </c>
      <c r="AU124" s="131" t="s">
        <v>80</v>
      </c>
      <c r="AY124" s="90" t="s">
        <v>127</v>
      </c>
      <c r="BE124" s="187">
        <f t="shared" si="4"/>
        <v>0</v>
      </c>
      <c r="BF124" s="187">
        <f t="shared" si="5"/>
        <v>0</v>
      </c>
      <c r="BG124" s="187">
        <f t="shared" si="6"/>
        <v>0</v>
      </c>
      <c r="BH124" s="187">
        <f t="shared" si="7"/>
        <v>0</v>
      </c>
      <c r="BI124" s="187">
        <f t="shared" si="8"/>
        <v>0</v>
      </c>
      <c r="BJ124" s="90" t="s">
        <v>80</v>
      </c>
      <c r="BK124" s="187">
        <f t="shared" si="9"/>
        <v>0</v>
      </c>
      <c r="BL124" s="90" t="s">
        <v>131</v>
      </c>
      <c r="BM124" s="131" t="s">
        <v>921</v>
      </c>
    </row>
    <row r="125" spans="2:65" s="99" customFormat="1" ht="66.75" customHeight="1" x14ac:dyDescent="0.2">
      <c r="B125" s="98"/>
      <c r="C125" s="176" t="s">
        <v>146</v>
      </c>
      <c r="D125" s="176" t="s">
        <v>129</v>
      </c>
      <c r="E125" s="177" t="s">
        <v>922</v>
      </c>
      <c r="F125" s="178" t="s">
        <v>923</v>
      </c>
      <c r="G125" s="179" t="s">
        <v>557</v>
      </c>
      <c r="H125" s="180">
        <v>1</v>
      </c>
      <c r="I125" s="81"/>
      <c r="J125" s="181">
        <f t="shared" si="0"/>
        <v>0</v>
      </c>
      <c r="K125" s="182"/>
      <c r="L125" s="98"/>
      <c r="M125" s="183" t="s">
        <v>1</v>
      </c>
      <c r="N125" s="184" t="s">
        <v>38</v>
      </c>
      <c r="P125" s="185">
        <f t="shared" si="1"/>
        <v>0</v>
      </c>
      <c r="Q125" s="185">
        <v>0</v>
      </c>
      <c r="R125" s="185">
        <f t="shared" si="2"/>
        <v>0</v>
      </c>
      <c r="S125" s="185">
        <v>0</v>
      </c>
      <c r="T125" s="186">
        <f t="shared" si="3"/>
        <v>0</v>
      </c>
      <c r="AR125" s="131" t="s">
        <v>131</v>
      </c>
      <c r="AT125" s="131" t="s">
        <v>129</v>
      </c>
      <c r="AU125" s="131" t="s">
        <v>80</v>
      </c>
      <c r="AY125" s="90" t="s">
        <v>127</v>
      </c>
      <c r="BE125" s="187">
        <f t="shared" si="4"/>
        <v>0</v>
      </c>
      <c r="BF125" s="187">
        <f t="shared" si="5"/>
        <v>0</v>
      </c>
      <c r="BG125" s="187">
        <f t="shared" si="6"/>
        <v>0</v>
      </c>
      <c r="BH125" s="187">
        <f t="shared" si="7"/>
        <v>0</v>
      </c>
      <c r="BI125" s="187">
        <f t="shared" si="8"/>
        <v>0</v>
      </c>
      <c r="BJ125" s="90" t="s">
        <v>80</v>
      </c>
      <c r="BK125" s="187">
        <f t="shared" si="9"/>
        <v>0</v>
      </c>
      <c r="BL125" s="90" t="s">
        <v>131</v>
      </c>
      <c r="BM125" s="131" t="s">
        <v>924</v>
      </c>
    </row>
    <row r="126" spans="2:65" s="99" customFormat="1" ht="16.5" customHeight="1" x14ac:dyDescent="0.2">
      <c r="B126" s="98"/>
      <c r="C126" s="176" t="s">
        <v>148</v>
      </c>
      <c r="D126" s="176" t="s">
        <v>129</v>
      </c>
      <c r="E126" s="177" t="s">
        <v>925</v>
      </c>
      <c r="F126" s="178" t="s">
        <v>926</v>
      </c>
      <c r="G126" s="179" t="s">
        <v>557</v>
      </c>
      <c r="H126" s="180">
        <v>1</v>
      </c>
      <c r="I126" s="81"/>
      <c r="J126" s="181">
        <f t="shared" si="0"/>
        <v>0</v>
      </c>
      <c r="K126" s="182"/>
      <c r="L126" s="98"/>
      <c r="M126" s="183" t="s">
        <v>1</v>
      </c>
      <c r="N126" s="184" t="s">
        <v>38</v>
      </c>
      <c r="P126" s="185">
        <f t="shared" si="1"/>
        <v>0</v>
      </c>
      <c r="Q126" s="185">
        <v>0</v>
      </c>
      <c r="R126" s="185">
        <f t="shared" si="2"/>
        <v>0</v>
      </c>
      <c r="S126" s="185">
        <v>0</v>
      </c>
      <c r="T126" s="186">
        <f t="shared" si="3"/>
        <v>0</v>
      </c>
      <c r="AR126" s="131" t="s">
        <v>131</v>
      </c>
      <c r="AT126" s="131" t="s">
        <v>129</v>
      </c>
      <c r="AU126" s="131" t="s">
        <v>80</v>
      </c>
      <c r="AY126" s="90" t="s">
        <v>127</v>
      </c>
      <c r="BE126" s="187">
        <f t="shared" si="4"/>
        <v>0</v>
      </c>
      <c r="BF126" s="187">
        <f t="shared" si="5"/>
        <v>0</v>
      </c>
      <c r="BG126" s="187">
        <f t="shared" si="6"/>
        <v>0</v>
      </c>
      <c r="BH126" s="187">
        <f t="shared" si="7"/>
        <v>0</v>
      </c>
      <c r="BI126" s="187">
        <f t="shared" si="8"/>
        <v>0</v>
      </c>
      <c r="BJ126" s="90" t="s">
        <v>80</v>
      </c>
      <c r="BK126" s="187">
        <f t="shared" si="9"/>
        <v>0</v>
      </c>
      <c r="BL126" s="90" t="s">
        <v>131</v>
      </c>
      <c r="BM126" s="131" t="s">
        <v>927</v>
      </c>
    </row>
    <row r="127" spans="2:65" s="99" customFormat="1" ht="16.5" customHeight="1" x14ac:dyDescent="0.2">
      <c r="B127" s="98"/>
      <c r="C127" s="176">
        <v>9</v>
      </c>
      <c r="D127" s="176" t="s">
        <v>129</v>
      </c>
      <c r="E127" s="177" t="s">
        <v>928</v>
      </c>
      <c r="F127" s="178" t="s">
        <v>929</v>
      </c>
      <c r="G127" s="179" t="s">
        <v>557</v>
      </c>
      <c r="H127" s="180">
        <v>1</v>
      </c>
      <c r="I127" s="81"/>
      <c r="J127" s="181">
        <f t="shared" si="0"/>
        <v>0</v>
      </c>
      <c r="K127" s="182"/>
      <c r="L127" s="98"/>
      <c r="M127" s="183" t="s">
        <v>1</v>
      </c>
      <c r="N127" s="184" t="s">
        <v>38</v>
      </c>
      <c r="P127" s="185">
        <f t="shared" si="1"/>
        <v>0</v>
      </c>
      <c r="Q127" s="185">
        <v>0</v>
      </c>
      <c r="R127" s="185">
        <f t="shared" si="2"/>
        <v>0</v>
      </c>
      <c r="S127" s="185">
        <v>0</v>
      </c>
      <c r="T127" s="186">
        <f t="shared" si="3"/>
        <v>0</v>
      </c>
      <c r="AR127" s="131" t="s">
        <v>131</v>
      </c>
      <c r="AT127" s="131" t="s">
        <v>129</v>
      </c>
      <c r="AU127" s="131" t="s">
        <v>80</v>
      </c>
      <c r="AY127" s="90" t="s">
        <v>127</v>
      </c>
      <c r="BE127" s="187">
        <f t="shared" si="4"/>
        <v>0</v>
      </c>
      <c r="BF127" s="187">
        <f t="shared" si="5"/>
        <v>0</v>
      </c>
      <c r="BG127" s="187">
        <f t="shared" si="6"/>
        <v>0</v>
      </c>
      <c r="BH127" s="187">
        <f t="shared" si="7"/>
        <v>0</v>
      </c>
      <c r="BI127" s="187">
        <f t="shared" si="8"/>
        <v>0</v>
      </c>
      <c r="BJ127" s="90" t="s">
        <v>80</v>
      </c>
      <c r="BK127" s="187">
        <f t="shared" si="9"/>
        <v>0</v>
      </c>
      <c r="BL127" s="90" t="s">
        <v>131</v>
      </c>
      <c r="BM127" s="131" t="s">
        <v>930</v>
      </c>
    </row>
    <row r="128" spans="2:65" s="99" customFormat="1" ht="16.5" customHeight="1" x14ac:dyDescent="0.2">
      <c r="B128" s="98"/>
      <c r="C128" s="176">
        <v>10</v>
      </c>
      <c r="D128" s="176" t="s">
        <v>129</v>
      </c>
      <c r="E128" s="177" t="s">
        <v>931</v>
      </c>
      <c r="F128" s="178" t="s">
        <v>932</v>
      </c>
      <c r="G128" s="179" t="s">
        <v>557</v>
      </c>
      <c r="H128" s="180">
        <v>3</v>
      </c>
      <c r="I128" s="81"/>
      <c r="J128" s="181">
        <f t="shared" si="0"/>
        <v>0</v>
      </c>
      <c r="K128" s="182"/>
      <c r="L128" s="98"/>
      <c r="M128" s="183" t="s">
        <v>1</v>
      </c>
      <c r="N128" s="184" t="s">
        <v>38</v>
      </c>
      <c r="P128" s="185">
        <f t="shared" si="1"/>
        <v>0</v>
      </c>
      <c r="Q128" s="185">
        <v>0</v>
      </c>
      <c r="R128" s="185">
        <f t="shared" si="2"/>
        <v>0</v>
      </c>
      <c r="S128" s="185">
        <v>0</v>
      </c>
      <c r="T128" s="186">
        <f t="shared" si="3"/>
        <v>0</v>
      </c>
      <c r="AR128" s="131" t="s">
        <v>131</v>
      </c>
      <c r="AT128" s="131" t="s">
        <v>129</v>
      </c>
      <c r="AU128" s="131" t="s">
        <v>80</v>
      </c>
      <c r="AY128" s="90" t="s">
        <v>127</v>
      </c>
      <c r="BE128" s="187">
        <f t="shared" si="4"/>
        <v>0</v>
      </c>
      <c r="BF128" s="187">
        <f t="shared" si="5"/>
        <v>0</v>
      </c>
      <c r="BG128" s="187">
        <f t="shared" si="6"/>
        <v>0</v>
      </c>
      <c r="BH128" s="187">
        <f t="shared" si="7"/>
        <v>0</v>
      </c>
      <c r="BI128" s="187">
        <f t="shared" si="8"/>
        <v>0</v>
      </c>
      <c r="BJ128" s="90" t="s">
        <v>80</v>
      </c>
      <c r="BK128" s="187">
        <f t="shared" si="9"/>
        <v>0</v>
      </c>
      <c r="BL128" s="90" t="s">
        <v>131</v>
      </c>
      <c r="BM128" s="131" t="s">
        <v>933</v>
      </c>
    </row>
    <row r="129" spans="2:65" s="99" customFormat="1" ht="33" customHeight="1" x14ac:dyDescent="0.2">
      <c r="B129" s="98"/>
      <c r="C129" s="176">
        <v>11</v>
      </c>
      <c r="D129" s="176" t="s">
        <v>129</v>
      </c>
      <c r="E129" s="177" t="s">
        <v>934</v>
      </c>
      <c r="F129" s="178" t="s">
        <v>935</v>
      </c>
      <c r="G129" s="179" t="s">
        <v>557</v>
      </c>
      <c r="H129" s="180">
        <v>1</v>
      </c>
      <c r="I129" s="81"/>
      <c r="J129" s="181">
        <f t="shared" si="0"/>
        <v>0</v>
      </c>
      <c r="K129" s="182"/>
      <c r="L129" s="98"/>
      <c r="M129" s="183" t="s">
        <v>1</v>
      </c>
      <c r="N129" s="184" t="s">
        <v>38</v>
      </c>
      <c r="P129" s="185">
        <f t="shared" si="1"/>
        <v>0</v>
      </c>
      <c r="Q129" s="185">
        <v>0</v>
      </c>
      <c r="R129" s="185">
        <f t="shared" si="2"/>
        <v>0</v>
      </c>
      <c r="S129" s="185">
        <v>0</v>
      </c>
      <c r="T129" s="186">
        <f t="shared" si="3"/>
        <v>0</v>
      </c>
      <c r="AR129" s="131" t="s">
        <v>131</v>
      </c>
      <c r="AT129" s="131" t="s">
        <v>129</v>
      </c>
      <c r="AU129" s="131" t="s">
        <v>80</v>
      </c>
      <c r="AY129" s="90" t="s">
        <v>127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90" t="s">
        <v>80</v>
      </c>
      <c r="BK129" s="187">
        <f t="shared" si="9"/>
        <v>0</v>
      </c>
      <c r="BL129" s="90" t="s">
        <v>131</v>
      </c>
      <c r="BM129" s="131" t="s">
        <v>936</v>
      </c>
    </row>
    <row r="130" spans="2:65" s="99" customFormat="1" ht="33" customHeight="1" x14ac:dyDescent="0.2">
      <c r="B130" s="98"/>
      <c r="C130" s="176">
        <v>12</v>
      </c>
      <c r="D130" s="176" t="s">
        <v>129</v>
      </c>
      <c r="E130" s="177" t="s">
        <v>937</v>
      </c>
      <c r="F130" s="178" t="s">
        <v>938</v>
      </c>
      <c r="G130" s="179" t="s">
        <v>557</v>
      </c>
      <c r="H130" s="180">
        <v>1</v>
      </c>
      <c r="I130" s="81"/>
      <c r="J130" s="181">
        <f t="shared" si="0"/>
        <v>0</v>
      </c>
      <c r="K130" s="182"/>
      <c r="L130" s="98"/>
      <c r="M130" s="183"/>
      <c r="N130" s="184"/>
      <c r="P130" s="185"/>
      <c r="Q130" s="185"/>
      <c r="R130" s="185"/>
      <c r="S130" s="185"/>
      <c r="T130" s="186"/>
      <c r="AR130" s="131"/>
      <c r="AT130" s="131"/>
      <c r="AU130" s="131"/>
      <c r="AY130" s="90"/>
      <c r="BE130" s="187"/>
      <c r="BF130" s="187"/>
      <c r="BG130" s="187"/>
      <c r="BH130" s="187"/>
      <c r="BI130" s="187"/>
      <c r="BJ130" s="90"/>
      <c r="BK130" s="187"/>
      <c r="BL130" s="90"/>
      <c r="BM130" s="131"/>
    </row>
    <row r="131" spans="2:65" s="99" customFormat="1" ht="16.5" customHeight="1" x14ac:dyDescent="0.2">
      <c r="B131" s="98"/>
      <c r="C131" s="176">
        <v>13</v>
      </c>
      <c r="D131" s="176" t="s">
        <v>129</v>
      </c>
      <c r="E131" s="177" t="s">
        <v>939</v>
      </c>
      <c r="F131" s="178" t="s">
        <v>940</v>
      </c>
      <c r="G131" s="179" t="s">
        <v>557</v>
      </c>
      <c r="H131" s="180">
        <v>1</v>
      </c>
      <c r="I131" s="81"/>
      <c r="J131" s="181">
        <f t="shared" si="0"/>
        <v>0</v>
      </c>
      <c r="K131" s="182"/>
      <c r="L131" s="98"/>
      <c r="M131" s="183" t="s">
        <v>1</v>
      </c>
      <c r="N131" s="184" t="s">
        <v>38</v>
      </c>
      <c r="P131" s="185">
        <f t="shared" si="1"/>
        <v>0</v>
      </c>
      <c r="Q131" s="185">
        <v>0</v>
      </c>
      <c r="R131" s="185">
        <f t="shared" si="2"/>
        <v>0</v>
      </c>
      <c r="S131" s="185">
        <v>0</v>
      </c>
      <c r="T131" s="186">
        <f t="shared" si="3"/>
        <v>0</v>
      </c>
      <c r="AR131" s="131" t="s">
        <v>131</v>
      </c>
      <c r="AT131" s="131" t="s">
        <v>129</v>
      </c>
      <c r="AU131" s="131" t="s">
        <v>80</v>
      </c>
      <c r="AY131" s="90" t="s">
        <v>127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90" t="s">
        <v>80</v>
      </c>
      <c r="BK131" s="187">
        <f t="shared" si="9"/>
        <v>0</v>
      </c>
      <c r="BL131" s="90" t="s">
        <v>131</v>
      </c>
      <c r="BM131" s="131" t="s">
        <v>941</v>
      </c>
    </row>
    <row r="132" spans="2:65" s="99" customFormat="1" ht="33" customHeight="1" x14ac:dyDescent="0.2">
      <c r="B132" s="98"/>
      <c r="C132" s="176">
        <v>14</v>
      </c>
      <c r="D132" s="176" t="s">
        <v>129</v>
      </c>
      <c r="E132" s="177" t="s">
        <v>942</v>
      </c>
      <c r="F132" s="178" t="s">
        <v>943</v>
      </c>
      <c r="G132" s="179" t="s">
        <v>557</v>
      </c>
      <c r="H132" s="180">
        <v>1</v>
      </c>
      <c r="I132" s="81"/>
      <c r="J132" s="181">
        <f t="shared" si="0"/>
        <v>0</v>
      </c>
      <c r="K132" s="182"/>
      <c r="L132" s="98"/>
      <c r="M132" s="183" t="s">
        <v>1</v>
      </c>
      <c r="N132" s="184" t="s">
        <v>38</v>
      </c>
      <c r="P132" s="185">
        <f t="shared" si="1"/>
        <v>0</v>
      </c>
      <c r="Q132" s="185">
        <v>0</v>
      </c>
      <c r="R132" s="185">
        <f t="shared" si="2"/>
        <v>0</v>
      </c>
      <c r="S132" s="185">
        <v>0</v>
      </c>
      <c r="T132" s="186">
        <f t="shared" si="3"/>
        <v>0</v>
      </c>
      <c r="AR132" s="131" t="s">
        <v>131</v>
      </c>
      <c r="AT132" s="131" t="s">
        <v>129</v>
      </c>
      <c r="AU132" s="131" t="s">
        <v>80</v>
      </c>
      <c r="AY132" s="90" t="s">
        <v>127</v>
      </c>
      <c r="BE132" s="187">
        <f t="shared" si="4"/>
        <v>0</v>
      </c>
      <c r="BF132" s="187">
        <f t="shared" si="5"/>
        <v>0</v>
      </c>
      <c r="BG132" s="187">
        <f t="shared" si="6"/>
        <v>0</v>
      </c>
      <c r="BH132" s="187">
        <f t="shared" si="7"/>
        <v>0</v>
      </c>
      <c r="BI132" s="187">
        <f t="shared" si="8"/>
        <v>0</v>
      </c>
      <c r="BJ132" s="90" t="s">
        <v>80</v>
      </c>
      <c r="BK132" s="187">
        <f t="shared" si="9"/>
        <v>0</v>
      </c>
      <c r="BL132" s="90" t="s">
        <v>131</v>
      </c>
      <c r="BM132" s="131" t="s">
        <v>944</v>
      </c>
    </row>
    <row r="133" spans="2:65" s="99" customFormat="1" ht="16.5" customHeight="1" x14ac:dyDescent="0.2">
      <c r="B133" s="98"/>
      <c r="C133" s="176">
        <v>15</v>
      </c>
      <c r="D133" s="176" t="s">
        <v>129</v>
      </c>
      <c r="E133" s="177" t="s">
        <v>945</v>
      </c>
      <c r="F133" s="178" t="s">
        <v>946</v>
      </c>
      <c r="G133" s="179" t="s">
        <v>557</v>
      </c>
      <c r="H133" s="180">
        <v>1</v>
      </c>
      <c r="I133" s="81"/>
      <c r="J133" s="181">
        <f t="shared" si="0"/>
        <v>0</v>
      </c>
      <c r="K133" s="182"/>
      <c r="L133" s="98"/>
      <c r="M133" s="266" t="s">
        <v>1</v>
      </c>
      <c r="N133" s="267" t="s">
        <v>38</v>
      </c>
      <c r="O133" s="268"/>
      <c r="P133" s="269">
        <f t="shared" si="1"/>
        <v>0</v>
      </c>
      <c r="Q133" s="269">
        <v>0</v>
      </c>
      <c r="R133" s="269">
        <f t="shared" si="2"/>
        <v>0</v>
      </c>
      <c r="S133" s="269">
        <v>0</v>
      </c>
      <c r="T133" s="270">
        <f t="shared" si="3"/>
        <v>0</v>
      </c>
      <c r="AR133" s="131" t="s">
        <v>131</v>
      </c>
      <c r="AT133" s="131" t="s">
        <v>129</v>
      </c>
      <c r="AU133" s="131" t="s">
        <v>80</v>
      </c>
      <c r="AY133" s="90" t="s">
        <v>127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90" t="s">
        <v>80</v>
      </c>
      <c r="BK133" s="187">
        <f t="shared" si="9"/>
        <v>0</v>
      </c>
      <c r="BL133" s="90" t="s">
        <v>131</v>
      </c>
      <c r="BM133" s="131" t="s">
        <v>947</v>
      </c>
    </row>
    <row r="134" spans="2:65" s="99" customFormat="1" ht="43.5" customHeight="1" x14ac:dyDescent="0.2">
      <c r="B134" s="98"/>
      <c r="C134" s="176">
        <v>16</v>
      </c>
      <c r="D134" s="176" t="s">
        <v>129</v>
      </c>
      <c r="E134" s="177" t="s">
        <v>949</v>
      </c>
      <c r="F134" s="178" t="s">
        <v>950</v>
      </c>
      <c r="G134" s="179" t="s">
        <v>557</v>
      </c>
      <c r="H134" s="180">
        <v>1</v>
      </c>
      <c r="I134" s="81"/>
      <c r="J134" s="181">
        <f t="shared" ref="J134" si="10">ROUND(I134*H134,2)</f>
        <v>0</v>
      </c>
      <c r="K134" s="182"/>
      <c r="L134" s="98"/>
      <c r="M134" s="266" t="s">
        <v>1</v>
      </c>
      <c r="N134" s="267" t="s">
        <v>38</v>
      </c>
      <c r="O134" s="268"/>
      <c r="P134" s="269">
        <f t="shared" ref="P134" si="11">O134*H134</f>
        <v>0</v>
      </c>
      <c r="Q134" s="269">
        <v>0</v>
      </c>
      <c r="R134" s="269">
        <f t="shared" ref="R134" si="12">Q134*H134</f>
        <v>0</v>
      </c>
      <c r="S134" s="269">
        <v>0</v>
      </c>
      <c r="T134" s="270">
        <f t="shared" ref="T134" si="13">S134*H134</f>
        <v>0</v>
      </c>
      <c r="AR134" s="131" t="s">
        <v>131</v>
      </c>
      <c r="AT134" s="131" t="s">
        <v>129</v>
      </c>
      <c r="AU134" s="131" t="s">
        <v>80</v>
      </c>
      <c r="AY134" s="90" t="s">
        <v>127</v>
      </c>
      <c r="BE134" s="187">
        <f t="shared" ref="BE134" si="14">IF(N134="základní",J134,0)</f>
        <v>0</v>
      </c>
      <c r="BF134" s="187">
        <f t="shared" ref="BF134" si="15">IF(N134="snížená",J134,0)</f>
        <v>0</v>
      </c>
      <c r="BG134" s="187">
        <f t="shared" ref="BG134" si="16">IF(N134="zákl. přenesená",J134,0)</f>
        <v>0</v>
      </c>
      <c r="BH134" s="187">
        <f t="shared" ref="BH134" si="17">IF(N134="sníž. přenesená",J134,0)</f>
        <v>0</v>
      </c>
      <c r="BI134" s="187">
        <f t="shared" ref="BI134" si="18">IF(N134="nulová",J134,0)</f>
        <v>0</v>
      </c>
      <c r="BJ134" s="90" t="s">
        <v>80</v>
      </c>
      <c r="BK134" s="187">
        <f t="shared" ref="BK134" si="19">ROUND(I134*H134,2)</f>
        <v>0</v>
      </c>
      <c r="BL134" s="90" t="s">
        <v>131</v>
      </c>
      <c r="BM134" s="131" t="s">
        <v>947</v>
      </c>
    </row>
    <row r="135" spans="2:65" s="99" customFormat="1" ht="49.5" customHeight="1" x14ac:dyDescent="0.2">
      <c r="B135" s="98"/>
      <c r="C135" s="176">
        <v>16</v>
      </c>
      <c r="D135" s="176" t="s">
        <v>129</v>
      </c>
      <c r="E135" s="177" t="s">
        <v>1078</v>
      </c>
      <c r="F135" s="178" t="s">
        <v>1079</v>
      </c>
      <c r="G135" s="179" t="s">
        <v>886</v>
      </c>
      <c r="H135" s="180">
        <v>5</v>
      </c>
      <c r="I135" s="81"/>
      <c r="J135" s="181">
        <f t="shared" ref="J135" si="20">ROUND(I135*H135,2)</f>
        <v>0</v>
      </c>
      <c r="K135" s="182"/>
      <c r="L135" s="98"/>
      <c r="M135" s="266" t="s">
        <v>1</v>
      </c>
      <c r="N135" s="267" t="s">
        <v>38</v>
      </c>
      <c r="O135" s="268"/>
      <c r="P135" s="269">
        <f t="shared" ref="P135" si="21">O135*H135</f>
        <v>0</v>
      </c>
      <c r="Q135" s="269">
        <v>0</v>
      </c>
      <c r="R135" s="269">
        <f t="shared" ref="R135" si="22">Q135*H135</f>
        <v>0</v>
      </c>
      <c r="S135" s="269">
        <v>0</v>
      </c>
      <c r="T135" s="270">
        <f t="shared" ref="T135" si="23">S135*H135</f>
        <v>0</v>
      </c>
      <c r="AR135" s="131" t="s">
        <v>131</v>
      </c>
      <c r="AT135" s="131" t="s">
        <v>129</v>
      </c>
      <c r="AU135" s="131" t="s">
        <v>80</v>
      </c>
      <c r="AY135" s="90" t="s">
        <v>127</v>
      </c>
      <c r="BE135" s="187">
        <f t="shared" ref="BE135" si="24">IF(N135="základní",J135,0)</f>
        <v>0</v>
      </c>
      <c r="BF135" s="187">
        <f t="shared" ref="BF135" si="25">IF(N135="snížená",J135,0)</f>
        <v>0</v>
      </c>
      <c r="BG135" s="187">
        <f t="shared" ref="BG135" si="26">IF(N135="zákl. přenesená",J135,0)</f>
        <v>0</v>
      </c>
      <c r="BH135" s="187">
        <f t="shared" ref="BH135" si="27">IF(N135="sníž. přenesená",J135,0)</f>
        <v>0</v>
      </c>
      <c r="BI135" s="187">
        <f t="shared" ref="BI135" si="28">IF(N135="nulová",J135,0)</f>
        <v>0</v>
      </c>
      <c r="BJ135" s="90" t="s">
        <v>80</v>
      </c>
      <c r="BK135" s="187">
        <f t="shared" ref="BK135" si="29">ROUND(I135*H135,2)</f>
        <v>0</v>
      </c>
      <c r="BL135" s="90" t="s">
        <v>131</v>
      </c>
      <c r="BM135" s="131" t="s">
        <v>947</v>
      </c>
    </row>
    <row r="136" spans="2:65" s="99" customFormat="1" ht="18" customHeight="1" x14ac:dyDescent="0.2">
      <c r="B136" s="126"/>
      <c r="C136" s="127"/>
      <c r="D136" s="127"/>
      <c r="E136" s="127"/>
      <c r="F136" s="127"/>
      <c r="G136" s="127"/>
      <c r="H136" s="127"/>
      <c r="I136" s="127"/>
      <c r="J136" s="127"/>
      <c r="K136" s="127"/>
      <c r="L136" s="98"/>
    </row>
  </sheetData>
  <sheetProtection password="C9A1" sheet="1" objects="1" scenarios="1"/>
  <autoFilter ref="C116:K130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SO 01 Vodovod</vt:lpstr>
      <vt:lpstr>01.1 - SO 01.1 Vodovodní ...</vt:lpstr>
      <vt:lpstr>02.2 - SO 02.2 Přeložky p...</vt:lpstr>
      <vt:lpstr>901 - VON</vt:lpstr>
      <vt:lpstr>'01 - SO 01 Vodovod'!Názvy_tisku</vt:lpstr>
      <vt:lpstr>'01.1 - SO 01.1 Vodovodní ...'!Názvy_tisku</vt:lpstr>
      <vt:lpstr>'02.2 - SO 02.2 Přeložky p...'!Názvy_tisku</vt:lpstr>
      <vt:lpstr>'901 - VON'!Názvy_tisku</vt:lpstr>
      <vt:lpstr>'Rekapitulace stavby'!Názvy_tisku</vt:lpstr>
      <vt:lpstr>'01 - SO 01 Vodovod'!Oblast_tisku</vt:lpstr>
      <vt:lpstr>'01.1 - SO 01.1 Vodovodní ...'!Oblast_tisku</vt:lpstr>
      <vt:lpstr>'02.2 - SO 02.2 Přeložky p...'!Oblast_tisku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DESKTOP-VCEHUTE\uzivatel</dc:creator>
  <cp:lastModifiedBy>Miroslav Havlas</cp:lastModifiedBy>
  <cp:lastPrinted>2024-12-02T07:15:37Z</cp:lastPrinted>
  <dcterms:created xsi:type="dcterms:W3CDTF">2024-11-01T06:57:52Z</dcterms:created>
  <dcterms:modified xsi:type="dcterms:W3CDTF">2024-12-02T07:17:32Z</dcterms:modified>
</cp:coreProperties>
</file>